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shaytsaban/Documents/YVC Financial Accounting B/2025A/"/>
    </mc:Choice>
  </mc:AlternateContent>
  <xr:revisionPtr revIDLastSave="0" documentId="13_ncr:1_{27D12EB8-08C8-CD4E-A644-74E192D8E609}" xr6:coauthVersionLast="47" xr6:coauthVersionMax="47" xr10:uidLastSave="{00000000-0000-0000-0000-000000000000}"/>
  <bookViews>
    <workbookView xWindow="0" yWindow="500" windowWidth="51200" windowHeight="29660" activeTab="9" xr2:uid="{BE8B2041-3A2F-4345-9830-61FCA8FE6E5C}"/>
  </bookViews>
  <sheets>
    <sheet name="Lecture 1" sheetId="1" r:id="rId1"/>
    <sheet name="Lecture 2" sheetId="2" r:id="rId2"/>
    <sheet name="Lecture 3" sheetId="3" r:id="rId3"/>
    <sheet name="Lecture 4" sheetId="4" r:id="rId4"/>
    <sheet name="Lecture 5" sheetId="5" r:id="rId5"/>
    <sheet name="Lecture 5b, 6" sheetId="6" r:id="rId6"/>
    <sheet name="Lecture 7 New" sheetId="7" r:id="rId7"/>
    <sheet name="Lecture 9 new" sheetId="8" r:id="rId8"/>
    <sheet name="Lecture 10 New" sheetId="9" r:id="rId9"/>
    <sheet name="Lecture Lecture 10b New" sheetId="10" r:id="rId10"/>
    <sheet name="Lecture 11" sheetId="15" r:id="rId11"/>
  </sheets>
  <definedNames>
    <definedName name="_xlnm.Print_Area" localSheetId="6">'Lecture 7 New'!$A$1:$H$430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33" i="10" l="1"/>
  <c r="I328" i="10"/>
  <c r="I327" i="10"/>
  <c r="D283" i="8"/>
  <c r="D282" i="8" s="1"/>
  <c r="E342" i="8" l="1"/>
  <c r="E341" i="8"/>
  <c r="E343" i="8" s="1"/>
  <c r="D274" i="8"/>
  <c r="F276" i="8" s="1"/>
  <c r="F296" i="8" s="1"/>
  <c r="E299" i="8" s="1"/>
  <c r="N102" i="7"/>
  <c r="I116" i="7"/>
  <c r="N95" i="7"/>
  <c r="M95" i="7"/>
  <c r="I113" i="7"/>
  <c r="N106" i="7"/>
  <c r="N107" i="7"/>
  <c r="I112" i="7"/>
  <c r="N103" i="7"/>
  <c r="N99" i="7"/>
  <c r="N88" i="7"/>
  <c r="N91" i="7"/>
  <c r="J105" i="7"/>
  <c r="H113" i="7"/>
  <c r="L100" i="7"/>
  <c r="L95" i="7"/>
  <c r="L91" i="7"/>
  <c r="K91" i="7"/>
  <c r="K95" i="7"/>
  <c r="G112" i="7"/>
  <c r="I88" i="7"/>
  <c r="F112" i="7"/>
  <c r="H91" i="7"/>
  <c r="I95" i="7" s="1"/>
  <c r="I89" i="7" s="1"/>
  <c r="F88" i="7"/>
  <c r="E112" i="7" s="1"/>
  <c r="E90" i="7"/>
  <c r="E89" i="7"/>
  <c r="D88" i="7"/>
  <c r="D91" i="7" s="1"/>
  <c r="E91" i="7" s="1"/>
  <c r="O203" i="7"/>
  <c r="O200" i="7"/>
  <c r="E591" i="6"/>
  <c r="E592" i="6" s="1"/>
  <c r="E521" i="6"/>
  <c r="D458" i="6"/>
  <c r="C236" i="6"/>
  <c r="C241" i="6"/>
  <c r="K61" i="6"/>
  <c r="I61" i="6"/>
  <c r="J63" i="6" s="1"/>
  <c r="K63" i="6" s="1"/>
  <c r="G61" i="6"/>
  <c r="H63" i="6" s="1"/>
  <c r="F63" i="6"/>
  <c r="F59" i="6" s="1"/>
  <c r="F58" i="6"/>
  <c r="D58" i="6"/>
  <c r="D61" i="6" s="1"/>
  <c r="E67" i="6" s="1"/>
  <c r="C61" i="6"/>
  <c r="B61" i="6"/>
  <c r="D766" i="5"/>
  <c r="D662" i="5"/>
  <c r="C970" i="4"/>
  <c r="H969" i="4"/>
  <c r="D149" i="3"/>
  <c r="D148" i="3"/>
  <c r="D145" i="3"/>
  <c r="D151" i="3" s="1"/>
  <c r="H432" i="2"/>
  <c r="H429" i="2" s="1"/>
  <c r="H430" i="2" s="1"/>
  <c r="H434" i="2"/>
  <c r="H435" i="2"/>
  <c r="E347" i="2"/>
  <c r="E346" i="2"/>
  <c r="E350" i="2"/>
  <c r="E314" i="2"/>
  <c r="E311" i="2"/>
  <c r="E310" i="2"/>
  <c r="D614" i="7"/>
  <c r="C486" i="6"/>
  <c r="D338" i="6"/>
  <c r="E223" i="6"/>
  <c r="E224" i="6" s="1"/>
  <c r="E226" i="6" s="1"/>
  <c r="C224" i="6"/>
  <c r="C226" i="6" s="1"/>
  <c r="D780" i="5"/>
  <c r="D781" i="5" s="1"/>
  <c r="D765" i="5"/>
  <c r="D757" i="5"/>
  <c r="D761" i="5" s="1"/>
  <c r="D764" i="5" s="1"/>
  <c r="E744" i="4"/>
  <c r="C420" i="2"/>
  <c r="A416" i="2"/>
  <c r="C418" i="2" s="1"/>
  <c r="H158" i="2"/>
  <c r="B595" i="1"/>
  <c r="C508" i="1"/>
  <c r="D500" i="1"/>
  <c r="E501" i="1" s="1"/>
  <c r="C489" i="1"/>
  <c r="E471" i="1"/>
  <c r="I507" i="1" s="1"/>
  <c r="G420" i="1"/>
  <c r="G422" i="1" s="1"/>
  <c r="F422" i="1"/>
  <c r="C251" i="1"/>
  <c r="I114" i="7" l="1"/>
  <c r="H112" i="7"/>
  <c r="H114" i="7"/>
  <c r="H116" i="7" s="1"/>
  <c r="L105" i="7" s="1"/>
  <c r="L108" i="7" s="1"/>
  <c r="J95" i="7"/>
  <c r="I91" i="7"/>
  <c r="E125" i="7" s="1"/>
  <c r="D112" i="7"/>
  <c r="D113" i="7" s="1"/>
  <c r="F91" i="7"/>
  <c r="G88" i="7"/>
  <c r="E88" i="7"/>
  <c r="D93" i="7"/>
  <c r="E93" i="7" s="1"/>
  <c r="F61" i="6"/>
  <c r="G63" i="6"/>
  <c r="C67" i="6"/>
  <c r="C68" i="6" s="1"/>
  <c r="D68" i="6" s="1"/>
  <c r="E68" i="6" s="1"/>
  <c r="I63" i="6"/>
  <c r="K58" i="6"/>
  <c r="D150" i="3"/>
  <c r="E348" i="2"/>
  <c r="D358" i="2" s="1"/>
  <c r="D398" i="2" s="1"/>
  <c r="E398" i="2" s="1"/>
  <c r="E312" i="2"/>
  <c r="D322" i="2" s="1"/>
  <c r="D319" i="2" s="1"/>
  <c r="D355" i="2"/>
  <c r="D395" i="2" s="1"/>
  <c r="E358" i="2"/>
  <c r="C422" i="2"/>
  <c r="C449" i="2" s="1"/>
  <c r="D114" i="7" l="1"/>
  <c r="D116" i="7" s="1"/>
  <c r="E113" i="7"/>
  <c r="E97" i="7"/>
  <c r="F97" i="7" s="1"/>
  <c r="F93" i="7"/>
  <c r="G97" i="7" s="1"/>
  <c r="H97" i="7" s="1"/>
  <c r="G91" i="7"/>
  <c r="H102" i="7" s="1"/>
  <c r="F102" i="7"/>
  <c r="F103" i="7" s="1"/>
  <c r="F68" i="6"/>
  <c r="F70" i="6"/>
  <c r="G70" i="6" s="1"/>
  <c r="E395" i="2"/>
  <c r="F395" i="2" s="1"/>
  <c r="G395" i="2" s="1"/>
  <c r="E355" i="2"/>
  <c r="C488" i="7"/>
  <c r="C489" i="7" s="1"/>
  <c r="E497" i="7" s="1"/>
  <c r="E318" i="9"/>
  <c r="E317" i="9"/>
  <c r="D250" i="9"/>
  <c r="F252" i="9" s="1"/>
  <c r="D259" i="9" s="1"/>
  <c r="D258" i="9" s="1"/>
  <c r="F272" i="9" s="1"/>
  <c r="E275" i="9" s="1"/>
  <c r="H103" i="7" l="1"/>
  <c r="J102" i="7" s="1"/>
  <c r="F113" i="7"/>
  <c r="G113" i="7" s="1"/>
  <c r="E114" i="7"/>
  <c r="E116" i="7" s="1"/>
  <c r="F106" i="7" s="1"/>
  <c r="G67" i="6"/>
  <c r="G64" i="6"/>
  <c r="G60" i="6" s="1"/>
  <c r="E319" i="9"/>
  <c r="C562" i="6"/>
  <c r="H703" i="7"/>
  <c r="H700" i="7" s="1"/>
  <c r="F690" i="7"/>
  <c r="E682" i="7"/>
  <c r="E681" i="7"/>
  <c r="A668" i="7"/>
  <c r="D661" i="7"/>
  <c r="D663" i="7" s="1"/>
  <c r="D653" i="7"/>
  <c r="C682" i="7"/>
  <c r="C683" i="7" s="1"/>
  <c r="C685" i="7" s="1"/>
  <c r="F687" i="7" s="1"/>
  <c r="D613" i="7"/>
  <c r="G631" i="7" s="1"/>
  <c r="D592" i="7"/>
  <c r="D594" i="7" s="1"/>
  <c r="C599" i="7" s="1"/>
  <c r="C600" i="7" s="1"/>
  <c r="D583" i="7"/>
  <c r="D582" i="7"/>
  <c r="E530" i="7"/>
  <c r="E533" i="7" s="1"/>
  <c r="C509" i="7"/>
  <c r="C511" i="7" s="1"/>
  <c r="E508" i="7"/>
  <c r="B614" i="7" s="1"/>
  <c r="B615" i="7" s="1"/>
  <c r="B617" i="7" s="1"/>
  <c r="C474" i="7"/>
  <c r="C473" i="7"/>
  <c r="C463" i="7"/>
  <c r="C445" i="7"/>
  <c r="C446" i="7" s="1"/>
  <c r="C453" i="7" s="1"/>
  <c r="C454" i="7" s="1"/>
  <c r="C433" i="7"/>
  <c r="C434" i="7" s="1"/>
  <c r="C425" i="7"/>
  <c r="E369" i="7"/>
  <c r="E372" i="7" s="1"/>
  <c r="F353" i="7"/>
  <c r="F354" i="7" s="1"/>
  <c r="E374" i="7" s="1"/>
  <c r="D346" i="7"/>
  <c r="C329" i="7"/>
  <c r="D336" i="7" s="1"/>
  <c r="D337" i="7" s="1"/>
  <c r="C272" i="7"/>
  <c r="C279" i="7" s="1"/>
  <c r="C280" i="7" s="1"/>
  <c r="C271" i="7"/>
  <c r="D247" i="7"/>
  <c r="E285" i="7" s="1"/>
  <c r="D234" i="7"/>
  <c r="D235" i="7" s="1"/>
  <c r="C270" i="7" s="1"/>
  <c r="B285" i="7" s="1"/>
  <c r="E120" i="7" l="1"/>
  <c r="E121" i="7" s="1"/>
  <c r="E132" i="7" s="1"/>
  <c r="G114" i="7"/>
  <c r="F114" i="7"/>
  <c r="H59" i="6"/>
  <c r="I59" i="6" s="1"/>
  <c r="J59" i="6" s="1"/>
  <c r="H60" i="6"/>
  <c r="I65" i="6" s="1"/>
  <c r="G58" i="6"/>
  <c r="H58" i="6" s="1"/>
  <c r="D654" i="7"/>
  <c r="D658" i="7" s="1"/>
  <c r="C426" i="7"/>
  <c r="C440" i="7"/>
  <c r="C441" i="7" s="1"/>
  <c r="C475" i="7"/>
  <c r="E683" i="7"/>
  <c r="E685" i="7" s="1"/>
  <c r="G695" i="7" s="1"/>
  <c r="F513" i="7"/>
  <c r="F514" i="7" s="1"/>
  <c r="C522" i="7" s="1"/>
  <c r="C520" i="7"/>
  <c r="G630" i="7"/>
  <c r="E668" i="7"/>
  <c r="G672" i="7" s="1"/>
  <c r="G673" i="7" s="1"/>
  <c r="E509" i="7"/>
  <c r="E511" i="7" s="1"/>
  <c r="F518" i="7" s="1"/>
  <c r="F517" i="7" s="1"/>
  <c r="D584" i="7"/>
  <c r="D604" i="7" s="1"/>
  <c r="G629" i="7" s="1"/>
  <c r="D311" i="7"/>
  <c r="D308" i="7" s="1"/>
  <c r="B286" i="7"/>
  <c r="E286" i="7" s="1"/>
  <c r="E287" i="7" s="1"/>
  <c r="E289" i="7" s="1"/>
  <c r="F688" i="7"/>
  <c r="F689" i="7" s="1"/>
  <c r="F356" i="7"/>
  <c r="D615" i="7"/>
  <c r="D617" i="7" s="1"/>
  <c r="G636" i="7" s="1"/>
  <c r="D248" i="7"/>
  <c r="D249" i="7" s="1"/>
  <c r="E254" i="7" s="1"/>
  <c r="E255" i="7" s="1"/>
  <c r="E122" i="7" l="1"/>
  <c r="F116" i="7"/>
  <c r="E133" i="7"/>
  <c r="G116" i="7"/>
  <c r="J100" i="7"/>
  <c r="E123" i="7"/>
  <c r="E127" i="7" s="1"/>
  <c r="D657" i="7"/>
  <c r="H61" i="6"/>
  <c r="I58" i="6"/>
  <c r="J58" i="6" s="1"/>
  <c r="J61" i="6" s="1"/>
  <c r="K67" i="6" s="1"/>
  <c r="K68" i="6" s="1"/>
  <c r="H705" i="7"/>
  <c r="F692" i="7"/>
  <c r="F691" i="7" s="1"/>
  <c r="C501" i="7"/>
  <c r="C502" i="7" s="1"/>
  <c r="B483" i="7"/>
  <c r="D483" i="7" s="1"/>
  <c r="B287" i="7"/>
  <c r="B289" i="7" s="1"/>
  <c r="G628" i="7"/>
  <c r="C619" i="7"/>
  <c r="C620" i="7" s="1"/>
  <c r="G639" i="7" s="1"/>
  <c r="C524" i="7"/>
  <c r="C525" i="7" s="1"/>
  <c r="F541" i="7" s="1"/>
  <c r="D315" i="7"/>
  <c r="C303" i="7"/>
  <c r="F515" i="7"/>
  <c r="C521" i="7" s="1"/>
  <c r="F543" i="7" s="1"/>
  <c r="H713" i="7"/>
  <c r="G696" i="7"/>
  <c r="D313" i="7"/>
  <c r="E376" i="7"/>
  <c r="E359" i="7"/>
  <c r="E364" i="7" s="1"/>
  <c r="C695" i="7"/>
  <c r="J90" i="7" l="1"/>
  <c r="E134" i="7"/>
  <c r="J108" i="7" s="1"/>
  <c r="H106" i="7"/>
  <c r="E131" i="7"/>
  <c r="H707" i="7"/>
  <c r="G501" i="7"/>
  <c r="G502" i="7" s="1"/>
  <c r="F532" i="7" s="1"/>
  <c r="D605" i="7" s="1"/>
  <c r="F538" i="7"/>
  <c r="H710" i="7"/>
  <c r="C696" i="7"/>
  <c r="E365" i="7"/>
  <c r="E381" i="7"/>
  <c r="E543" i="7" s="1"/>
  <c r="C304" i="7"/>
  <c r="D320" i="7"/>
  <c r="E135" i="7" l="1"/>
  <c r="J88" i="7"/>
  <c r="K90" i="7"/>
  <c r="K89" i="7"/>
  <c r="L89" i="7" s="1"/>
  <c r="F530" i="7"/>
  <c r="D603" i="7" s="1"/>
  <c r="D606" i="7" s="1"/>
  <c r="D330" i="6"/>
  <c r="D331" i="6" s="1"/>
  <c r="F596" i="6"/>
  <c r="F582" i="6"/>
  <c r="F581" i="6"/>
  <c r="C555" i="6"/>
  <c r="C556" i="6" s="1"/>
  <c r="C552" i="6"/>
  <c r="C566" i="6" s="1"/>
  <c r="C567" i="6" s="1"/>
  <c r="C577" i="6" s="1"/>
  <c r="C545" i="6"/>
  <c r="F601" i="6" s="1"/>
  <c r="E525" i="6"/>
  <c r="E520" i="6"/>
  <c r="C512" i="6"/>
  <c r="F506" i="6"/>
  <c r="C477" i="6"/>
  <c r="D453" i="6"/>
  <c r="D418" i="6"/>
  <c r="D415" i="6"/>
  <c r="E398" i="6"/>
  <c r="E400" i="6" s="1"/>
  <c r="D411" i="6" s="1"/>
  <c r="C398" i="6"/>
  <c r="C400" i="6" s="1"/>
  <c r="D407" i="6" s="1"/>
  <c r="C388" i="6"/>
  <c r="F387" i="6"/>
  <c r="F388" i="6" s="1"/>
  <c r="F383" i="6"/>
  <c r="F382" i="6"/>
  <c r="D356" i="6"/>
  <c r="D358" i="6" s="1"/>
  <c r="D336" i="6"/>
  <c r="D346" i="6" s="1"/>
  <c r="D347" i="6" s="1"/>
  <c r="F384" i="6" s="1"/>
  <c r="C328" i="6"/>
  <c r="F326" i="6" s="1"/>
  <c r="F328" i="6" s="1"/>
  <c r="D293" i="6"/>
  <c r="D294" i="6" s="1"/>
  <c r="D309" i="6"/>
  <c r="D310" i="6" s="1"/>
  <c r="C239" i="6"/>
  <c r="C243" i="6"/>
  <c r="D219" i="6"/>
  <c r="D202" i="6"/>
  <c r="D206" i="6" s="1"/>
  <c r="D207" i="6" s="1"/>
  <c r="D148" i="6"/>
  <c r="D150" i="6" s="1"/>
  <c r="D152" i="6" s="1"/>
  <c r="D157" i="6" s="1"/>
  <c r="D117" i="6"/>
  <c r="D119" i="6" s="1"/>
  <c r="D131" i="6" s="1"/>
  <c r="D132" i="6" s="1"/>
  <c r="D96" i="6"/>
  <c r="L90" i="7" l="1"/>
  <c r="K88" i="7"/>
  <c r="E523" i="6"/>
  <c r="B167" i="6"/>
  <c r="F583" i="6"/>
  <c r="F585" i="6" s="1"/>
  <c r="F605" i="6" s="1"/>
  <c r="F385" i="6"/>
  <c r="C546" i="6"/>
  <c r="B162" i="6"/>
  <c r="B165" i="6" s="1"/>
  <c r="D421" i="6"/>
  <c r="C578" i="6"/>
  <c r="B169" i="6"/>
  <c r="D158" i="6"/>
  <c r="D408" i="6"/>
  <c r="D439" i="6" s="1"/>
  <c r="D440" i="6" s="1"/>
  <c r="D447" i="6"/>
  <c r="L88" i="7" l="1"/>
  <c r="M88" i="7" s="1"/>
  <c r="M91" i="7" s="1"/>
  <c r="M90" i="7"/>
  <c r="M89" i="7"/>
  <c r="F603" i="6"/>
  <c r="D463" i="6"/>
  <c r="D448" i="6"/>
  <c r="D465" i="6" s="1"/>
  <c r="D409" i="6"/>
  <c r="D444" i="6" l="1"/>
  <c r="D445" i="6" s="1"/>
  <c r="D410" i="6"/>
  <c r="C772" i="5"/>
  <c r="D723" i="5"/>
  <c r="D715" i="5"/>
  <c r="D716" i="5" s="1"/>
  <c r="D742" i="5" s="1"/>
  <c r="D743" i="5" s="1"/>
  <c r="C773" i="5" s="1"/>
  <c r="E663" i="5"/>
  <c r="E647" i="5"/>
  <c r="E657" i="5" s="1"/>
  <c r="D664" i="5" s="1"/>
  <c r="E664" i="5" s="1"/>
  <c r="D685" i="5" s="1"/>
  <c r="D687" i="5" s="1"/>
  <c r="D688" i="5" s="1"/>
  <c r="F441" i="5" s="1"/>
  <c r="E638" i="5"/>
  <c r="D640" i="5" s="1"/>
  <c r="D614" i="5"/>
  <c r="D615" i="5" s="1"/>
  <c r="E583" i="5"/>
  <c r="D582" i="5"/>
  <c r="D574" i="5"/>
  <c r="D576" i="5" s="1"/>
  <c r="D577" i="5" s="1"/>
  <c r="E552" i="5"/>
  <c r="D554" i="5" s="1"/>
  <c r="C527" i="5"/>
  <c r="D496" i="5"/>
  <c r="D497" i="5" s="1"/>
  <c r="G487" i="5"/>
  <c r="C473" i="5"/>
  <c r="D445" i="5"/>
  <c r="E444" i="5"/>
  <c r="F442" i="5"/>
  <c r="D438" i="5"/>
  <c r="F435" i="5"/>
  <c r="F438" i="5" s="1"/>
  <c r="D724" i="5" l="1"/>
  <c r="G436" i="5"/>
  <c r="G440" i="5"/>
  <c r="C516" i="5"/>
  <c r="D519" i="5" s="1"/>
  <c r="D520" i="5" s="1"/>
  <c r="D641" i="5"/>
  <c r="F440" i="5"/>
  <c r="D587" i="5"/>
  <c r="D555" i="5"/>
  <c r="D583" i="5"/>
  <c r="D585" i="5" s="1"/>
  <c r="E585" i="5" s="1"/>
  <c r="E582" i="5" s="1"/>
  <c r="C774" i="5"/>
  <c r="D786" i="5" s="1"/>
  <c r="D649" i="5"/>
  <c r="D650" i="5" s="1"/>
  <c r="G444" i="5" l="1"/>
  <c r="C517" i="5"/>
  <c r="D517" i="5" s="1"/>
  <c r="D515" i="5" s="1"/>
  <c r="D802" i="5"/>
  <c r="D594" i="5"/>
  <c r="D588" i="5"/>
  <c r="E440" i="5"/>
  <c r="D663" i="5"/>
  <c r="D672" i="5" l="1"/>
  <c r="D673" i="5" s="1"/>
  <c r="G669" i="5"/>
  <c r="C528" i="5"/>
  <c r="C529" i="5" s="1"/>
  <c r="D534" i="5" s="1"/>
  <c r="D535" i="5" s="1"/>
  <c r="E435" i="5"/>
  <c r="D665" i="5" s="1"/>
  <c r="E665" i="5" s="1"/>
  <c r="D597" i="5"/>
  <c r="D601" i="5" s="1"/>
  <c r="E608" i="5" s="1"/>
  <c r="D803" i="5"/>
  <c r="G435" i="5"/>
  <c r="G438" i="5" s="1"/>
  <c r="G614" i="5" l="1"/>
  <c r="G615" i="5" s="1"/>
  <c r="E442" i="5"/>
  <c r="E437" i="5"/>
  <c r="E676" i="5"/>
  <c r="E678" i="5" s="1"/>
  <c r="F685" i="5" s="1"/>
  <c r="H687" i="5" s="1"/>
  <c r="H688" i="5" s="1"/>
  <c r="F444" i="5" s="1"/>
  <c r="F445" i="5" s="1"/>
  <c r="G445" i="5" s="1"/>
  <c r="E662" i="5"/>
  <c r="C179" i="5" l="1"/>
  <c r="H178" i="5"/>
  <c r="D514" i="4" l="1"/>
  <c r="C513" i="4"/>
  <c r="C512" i="4"/>
  <c r="C511" i="4"/>
  <c r="C510" i="4"/>
  <c r="E362" i="4"/>
  <c r="D352" i="4"/>
  <c r="E360" i="4" s="1"/>
  <c r="D332" i="4"/>
  <c r="D325" i="4"/>
  <c r="G119" i="3" l="1"/>
  <c r="D113" i="2" l="1"/>
  <c r="I140" i="2" l="1"/>
  <c r="B443" i="2"/>
  <c r="B442" i="2"/>
  <c r="B441" i="2"/>
  <c r="B411" i="2"/>
  <c r="B408" i="2"/>
  <c r="B407" i="2"/>
  <c r="G406" i="2"/>
  <c r="L429" i="2" s="1"/>
  <c r="B406" i="2"/>
  <c r="G384" i="2"/>
  <c r="G380" i="2"/>
  <c r="B380" i="2"/>
  <c r="G379" i="2"/>
  <c r="B379" i="2"/>
  <c r="E343" i="2"/>
  <c r="B384" i="2" s="1"/>
  <c r="E340" i="2"/>
  <c r="E338" i="2"/>
  <c r="E306" i="2"/>
  <c r="E303" i="2"/>
  <c r="E301" i="2"/>
  <c r="E283" i="2"/>
  <c r="D318" i="2" s="1"/>
  <c r="B230" i="2"/>
  <c r="B229" i="2"/>
  <c r="B228" i="2"/>
  <c r="B227" i="2"/>
  <c r="B226" i="2"/>
  <c r="D183" i="2"/>
  <c r="C170" i="2"/>
  <c r="D169" i="2"/>
  <c r="C180" i="2" s="1"/>
  <c r="C183" i="2" s="1"/>
  <c r="D148" i="2"/>
  <c r="D131" i="2"/>
  <c r="C121" i="2"/>
  <c r="D137" i="2" s="1"/>
  <c r="D139" i="2" s="1"/>
  <c r="D105" i="2"/>
  <c r="D87" i="2"/>
  <c r="G408" i="2" l="1"/>
  <c r="G410" i="2" s="1"/>
  <c r="I413" i="2" s="1"/>
  <c r="L431" i="2" s="1"/>
  <c r="J394" i="2"/>
  <c r="D320" i="2"/>
  <c r="D354" i="2"/>
  <c r="D394" i="2" s="1"/>
  <c r="E341" i="2"/>
  <c r="B444" i="2"/>
  <c r="B409" i="2"/>
  <c r="B382" i="2"/>
  <c r="C184" i="2"/>
  <c r="G382" i="2"/>
  <c r="G387" i="2" s="1"/>
  <c r="E304" i="2"/>
  <c r="D122" i="2"/>
  <c r="G443" i="2"/>
  <c r="G445" i="2" s="1"/>
  <c r="I448" i="2" s="1"/>
  <c r="D170" i="2"/>
  <c r="D396" i="2" l="1"/>
  <c r="E394" i="2"/>
  <c r="G400" i="2"/>
  <c r="G401" i="2" s="1"/>
  <c r="D356" i="2"/>
  <c r="E354" i="2"/>
  <c r="E356" i="2" s="1"/>
  <c r="C539" i="1"/>
  <c r="E547" i="1" s="1"/>
  <c r="C538" i="1"/>
  <c r="E546" i="1" s="1"/>
  <c r="C536" i="1"/>
  <c r="C537" i="1" s="1"/>
  <c r="C528" i="1"/>
  <c r="C526" i="1"/>
  <c r="C524" i="1"/>
  <c r="C525" i="1" s="1"/>
  <c r="C480" i="1"/>
  <c r="F491" i="1" s="1"/>
  <c r="B451" i="1"/>
  <c r="C444" i="1" s="1"/>
  <c r="D413" i="1"/>
  <c r="C411" i="1"/>
  <c r="C413" i="1" s="1"/>
  <c r="C386" i="1"/>
  <c r="C426" i="1" s="1"/>
  <c r="C382" i="1"/>
  <c r="C374" i="1"/>
  <c r="C311" i="1"/>
  <c r="C377" i="1" s="1"/>
  <c r="D378" i="1" s="1"/>
  <c r="C302" i="1"/>
  <c r="C307" i="1" s="1"/>
  <c r="C256" i="1"/>
  <c r="D257" i="1" s="1"/>
  <c r="D260" i="1" s="1"/>
  <c r="C220" i="1"/>
  <c r="D214" i="1"/>
  <c r="C208" i="1"/>
  <c r="D209" i="1" s="1"/>
  <c r="C181" i="1"/>
  <c r="D175" i="1"/>
  <c r="C166" i="1"/>
  <c r="D167" i="1" s="1"/>
  <c r="C143" i="1"/>
  <c r="E396" i="2" l="1"/>
  <c r="F394" i="2"/>
  <c r="D495" i="1"/>
  <c r="E496" i="1" s="1"/>
  <c r="C511" i="1"/>
  <c r="C180" i="1"/>
  <c r="C182" i="1" s="1"/>
  <c r="C527" i="1"/>
  <c r="C529" i="1" s="1"/>
  <c r="D144" i="1"/>
  <c r="C383" i="1"/>
  <c r="C405" i="1" s="1"/>
  <c r="D406" i="1" s="1"/>
  <c r="E544" i="1"/>
  <c r="E545" i="1" s="1"/>
  <c r="D546" i="1" s="1"/>
  <c r="D563" i="1"/>
  <c r="D564" i="1" s="1"/>
  <c r="D427" i="1"/>
  <c r="D531" i="1"/>
  <c r="D552" i="1" s="1"/>
  <c r="C318" i="1"/>
  <c r="C448" i="1"/>
  <c r="C321" i="1"/>
  <c r="C540" i="1"/>
  <c r="D312" i="1"/>
  <c r="F396" i="2" l="1"/>
  <c r="G394" i="2"/>
  <c r="G396" i="2" s="1"/>
  <c r="C445" i="1"/>
  <c r="C446" i="1" s="1"/>
  <c r="C219" i="1"/>
  <c r="C221" i="1" s="1"/>
  <c r="C384" i="1"/>
  <c r="C388" i="1" s="1"/>
  <c r="C420" i="1" s="1"/>
  <c r="D530" i="1"/>
  <c r="E548" i="1"/>
  <c r="D554" i="1"/>
  <c r="G444" i="1"/>
  <c r="C317" i="1" l="1"/>
  <c r="C319" i="1" s="1"/>
  <c r="C415" i="1"/>
  <c r="C530" i="1"/>
  <c r="D421" i="1"/>
  <c r="C507" i="1" l="1"/>
  <c r="C509" i="1" s="1"/>
  <c r="C512" i="1"/>
  <c r="C513" i="1" s="1"/>
  <c r="C449" i="1"/>
  <c r="D558" i="1"/>
  <c r="D559" i="1" s="1"/>
  <c r="C532" i="1"/>
</calcChain>
</file>

<file path=xl/sharedStrings.xml><?xml version="1.0" encoding="utf-8"?>
<sst xmlns="http://schemas.openxmlformats.org/spreadsheetml/2006/main" count="4925" uniqueCount="3693">
  <si>
    <t>חשבונאות פיננסית ב - מפגש 1</t>
  </si>
  <si>
    <t>נושא ליבה בקורס וראשון - IAS 40 - נדל״ן להשקעה - Investment Property</t>
  </si>
  <si>
    <t>הגדרה:</t>
  </si>
  <si>
    <t xml:space="preserve">נדל״ן = נכסי דלא ניידי. מבחינתנו: מבנים, קרקעות או שילוב. </t>
  </si>
  <si>
    <t xml:space="preserve">התשובה היא: תלוי. </t>
  </si>
  <si>
    <t>נדל״ן יכול בהגדרה ליפול לגדר אחת מבין 3 קטגוריות:</t>
  </si>
  <si>
    <t xml:space="preserve">א. רכוש קבוע: במידה והוא מוחזק ל״שימוש עצמי״ = החברה עצמה משתמשת בו (אולם מכירות, מפעל). </t>
  </si>
  <si>
    <t xml:space="preserve">ב. מלאי: אם מדובר בחברה קבלנית, המחזיקה מלאי מבנים למכירה, כמובן שייתכן ומדובר במלאי. </t>
  </si>
  <si>
    <t>IAS 16</t>
  </si>
  <si>
    <t>IAS 2</t>
  </si>
  <si>
    <t>IAS 40</t>
  </si>
  <si>
    <t>ג.1. הנבת הכנסות שכירות</t>
  </si>
  <si>
    <t>לא ניתן לסווג את הפריט כנדל״ן להשקעה (אם ורק אם כל המטרה מסתכמת בהכנסות שכירות או מכירה ברווח,</t>
  </si>
  <si>
    <t xml:space="preserve">אזי ניתן לסווג; אם בינתיים השימוש שונה, לא ניתן לסווג). </t>
  </si>
  <si>
    <t>מדוע כה חשוב להבחין ולהבדיל בין נדל״ן להשקעה לרכוש קבוע?</t>
  </si>
  <si>
    <t>הפריט. אם שווי נדל״ן להשקעה יורד, דמי השכירות יורדים ופוטנציאל המכירה ברווח יורד. ההשפעה הכלכלית</t>
  </si>
  <si>
    <t>על הישות היא שלילית.</t>
  </si>
  <si>
    <t>שאלה לקהל:</t>
  </si>
  <si>
    <t>כיצד יסווג בית מלון?</t>
  </si>
  <si>
    <t>טווח פאסיביות</t>
  </si>
  <si>
    <t>קרקע</t>
  </si>
  <si>
    <t>חקלאית</t>
  </si>
  <si>
    <t>ממתינה</t>
  </si>
  <si>
    <t>להפשרה</t>
  </si>
  <si>
    <t>פאסיבי</t>
  </si>
  <si>
    <t>קיצוני</t>
  </si>
  <si>
    <t xml:space="preserve">אקטיבי </t>
  </si>
  <si>
    <t>עושים</t>
  </si>
  <si>
    <t>מעט מאד</t>
  </si>
  <si>
    <t>כדי להפיק</t>
  </si>
  <si>
    <t>הטבות</t>
  </si>
  <si>
    <t>מפעל</t>
  </si>
  <si>
    <t>ייצור</t>
  </si>
  <si>
    <t>בית מלון</t>
  </si>
  <si>
    <t>מבנה</t>
  </si>
  <si>
    <t>מושכר</t>
  </si>
  <si>
    <t>עם</t>
  </si>
  <si>
    <t>שירותים</t>
  </si>
  <si>
    <t>בסיסיים</t>
  </si>
  <si>
    <t>שירות משמעותי</t>
  </si>
  <si>
    <t>כדי להפיק הטבה)</t>
  </si>
  <si>
    <t>היקף השירותים לרוכש / שוכר</t>
  </si>
  <si>
    <t>הוא בלתי משמעותי - הסיווג יהיה</t>
  </si>
  <si>
    <r>
      <rPr>
        <b/>
        <sz val="12"/>
        <color theme="1"/>
        <rFont val="David"/>
      </rPr>
      <t>רכוש קבוע</t>
    </r>
    <r>
      <rPr>
        <sz val="12"/>
        <color theme="1"/>
        <rFont val="David"/>
      </rPr>
      <t xml:space="preserve"> (מספקים</t>
    </r>
  </si>
  <si>
    <r>
      <t>כ</t>
    </r>
    <r>
      <rPr>
        <b/>
        <sz val="12"/>
        <color theme="1"/>
        <rFont val="David"/>
      </rPr>
      <t>נדל״ן להשקעה</t>
    </r>
  </si>
  <si>
    <t>מהו בסיס המדידה של נדל״ן להשקעה? כיצד ייקבע אופן חישוב ערכו הכספי בדוח על המצב הכספי (כנכס לא שוטף)?</t>
  </si>
  <si>
    <t>בסיס</t>
  </si>
  <si>
    <t>העלות</t>
  </si>
  <si>
    <t xml:space="preserve">על הישות </t>
  </si>
  <si>
    <t>ליישם באופן</t>
  </si>
  <si>
    <t xml:space="preserve">עקבי לכל </t>
  </si>
  <si>
    <t>פריטי הנדל״ש</t>
  </si>
  <si>
    <t>אופן המדידה</t>
  </si>
  <si>
    <t>זהה לרכוש קבוע</t>
  </si>
  <si>
    <t>שנמדד בעלות - IAS 16</t>
  </si>
  <si>
    <t>חובה להעניק גילוי</t>
  </si>
  <si>
    <t xml:space="preserve">לשווי ההוגן </t>
  </si>
  <si>
    <t>בכל מועד דיווח</t>
  </si>
  <si>
    <t>השווי</t>
  </si>
  <si>
    <t>ההוגן</t>
  </si>
  <si>
    <t>חובת יישום</t>
  </si>
  <si>
    <t>אופן המדידה:</t>
  </si>
  <si>
    <r>
      <t xml:space="preserve">חובה למדוד בשווי הוגן </t>
    </r>
    <r>
      <rPr>
        <u/>
        <sz val="12"/>
        <color theme="1"/>
        <rFont val="David"/>
      </rPr>
      <t>כל</t>
    </r>
    <r>
      <rPr>
        <sz val="12"/>
        <color theme="1"/>
        <rFont val="David"/>
      </rPr>
      <t xml:space="preserve"> מועד דיווח</t>
    </r>
  </si>
  <si>
    <t>אין רישום של הוצאות פחת!</t>
  </si>
  <si>
    <t>כל עליית ערך = מיד הכנסה</t>
  </si>
  <si>
    <t>כל ירידת ערך = מיד הוצאה</t>
  </si>
  <si>
    <t>תרגיל 1 - עירוב שימושים בנדל״ן להשקעה - שינוי ייעוד בסיסי וסוגיית הקמה</t>
  </si>
  <si>
    <t>יעדים:</t>
  </si>
  <si>
    <t>לאחר הטמעה מלאה של אופן העבודה בתרגיל זה, עליכם לדעת באופן מלא:</t>
  </si>
  <si>
    <t xml:space="preserve">א. כיצד מטופל נדל״ן בהקמה המיועד לשימוש החברה מבחינת סיווג ראשוני. </t>
  </si>
  <si>
    <t>ב. כיצד לזהות את מועד המעבר לנדל״ן להשקעה.</t>
  </si>
  <si>
    <t>ג. כיצד לטפל בחלקים השונים של מבנה נדל״ן בעירוב שימושים בהנחת יכולת הפרדה.</t>
  </si>
  <si>
    <t>ד. כיצד לנהל ״כרטיסי חשבון״ בהקשרים החשבונאיים הנלמדים, ותפקידם המתבקש בנתיב בקרה ומעקב</t>
  </si>
  <si>
    <t xml:space="preserve">    אחר התפתחות היתרות.</t>
  </si>
  <si>
    <t>Shall We?</t>
  </si>
  <si>
    <r>
      <t xml:space="preserve">חברת תפוחים מגניבים בע״מ רכשה בתאריך 30 בספטמבר 2013 </t>
    </r>
    <r>
      <rPr>
        <b/>
        <sz val="12"/>
        <color theme="1"/>
        <rFont val="David"/>
      </rPr>
      <t>קרקע</t>
    </r>
    <r>
      <rPr>
        <sz val="12"/>
        <color theme="1"/>
        <rFont val="David"/>
      </rPr>
      <t xml:space="preserve"> בנס ציונה. ההנהלה הגדירה את מטרת</t>
    </r>
  </si>
  <si>
    <t>הרכישה ברמה האסטרטגית: ״לצרכי התרחבות ההנהלה, ומתן מענה הולם לצוות האדמיניסטרטיבי המתרחב,</t>
  </si>
  <si>
    <t>הגיע הזמן לבנות מבנה שיוקם ויוגדר לפי הדרישות והצרכים המיוחדים שלנו, ויכלול 5 קומות״.</t>
  </si>
  <si>
    <t xml:space="preserve">עלות הרכישה כללה 1,000,000 ש״ח שהועברו במישרין למוכר, אך בנוסף 200,000 ש״ח נוספים דמי תיווך. </t>
  </si>
  <si>
    <t>מיד במועד הרכישה, החלה החברה בהקמת המבנה. לאחר עמל רב, הושלמה בנייתו בתאריך 30 בספטמבר 2015.</t>
  </si>
  <si>
    <t xml:space="preserve">עלות ההקמה הסתכמה ב-3,000,000 ש״ח. במועד השלמת ההקמה, המבנה היה זמין לשימוש. </t>
  </si>
  <si>
    <t>יש להניח כי עלויות ההקמה מתפלגות באופן אחיד על פני תקופת ההקמה. בנוסף, ידוע כי לאור מידה רבה של</t>
  </si>
  <si>
    <t xml:space="preserve">אי וודאות השוררת בשווקים ואופיו המיוחד של המבנה, לא ניתן לאמוד את שוויו ההוגן באופן מהימן </t>
  </si>
  <si>
    <t>במהלך תקופת הקמתו.</t>
  </si>
  <si>
    <t xml:space="preserve">ב-1 בדצמבר 2015, החליטה החברה להשכיר קומה אחת מבין 5 הקומות, וזאת לאחר שפיטרה חלק מצוות </t>
  </si>
  <si>
    <t>העובדים שלה. ב-1.3.2016 פונתה הקומה מעובדי החברה. הסכם השכירות עם השוכר נחתם ב-1.5.2016.</t>
  </si>
  <si>
    <t>תאריך</t>
  </si>
  <si>
    <t>שווי הוגן בש״ח</t>
  </si>
  <si>
    <t>נתונים נוספים:</t>
  </si>
  <si>
    <t>החברה מיישמת את הנחיות IAS 16 לצורך מדידת פריטי הרכוש הקבוע שבבעלותה, כאשר בסיס המדידה הנבחר</t>
  </si>
  <si>
    <t>למדידת פריטי הרכוש הקבוע המשתייכים לקבוצת המבנים והקרקעות הוא העלות.</t>
  </si>
  <si>
    <t>החברה מיישמת את הנחיות IAS 40 לצורך מדידת פריטי הנדל״ן להשקעה שבבעלותה, כאשר בסיס המדידה הנבחר</t>
  </si>
  <si>
    <t>למדידת כלל פריטי הנדל״ן להשקעה שבבעלותה הוא השווי ההוגן.</t>
  </si>
  <si>
    <t>אורך החיים השימושיים של המבנה הוא 25 שנים, והפחתתו היא בשיטת הקו הישר.</t>
  </si>
  <si>
    <t xml:space="preserve">בנוסף, יש להניח כי החברה מאפסת את יתרת הפחת הנצבר בכל מועד הערכה מחדש ככל שנדרש לפי הנחיות </t>
  </si>
  <si>
    <t xml:space="preserve">מעברים כשירים ב- IAS 40 לעניין מעבר מרכוש קבוע לנדל״ן להשקעה הנמדד בשווי הוגן,  ובהקשר זה - קרן </t>
  </si>
  <si>
    <t>ההערכה מחדש ככל שנוצרת מועברת לעודפים במועד מימוש הנכס בלבד.</t>
  </si>
  <si>
    <t xml:space="preserve">נדרש: </t>
  </si>
  <si>
    <t>הציגו את מכלול פקודות היומן עבור השנים 2013-2016, והציגו את מכלול היתרות המאזניות והתוצאתיות</t>
  </si>
  <si>
    <t>בגין הפריט לתום כל אחת משנים אלו, לרבות הצגת כרטיסי חשבון למעקב מלא אחר התפתחות היתרות.</t>
  </si>
  <si>
    <t>הקפידו לציין באופן ברור על בסיס התקן תימוכין לכלי המדידה שיושמו במסגרת התרגיל.</t>
  </si>
  <si>
    <t>פתרון תרגיל 1 - עירוב שימושים בנדל״ן להשקעה</t>
  </si>
  <si>
    <t>חובה</t>
  </si>
  <si>
    <t>זכות</t>
  </si>
  <si>
    <t>רכוש קבוע - מבנה</t>
  </si>
  <si>
    <t>מזומן</t>
  </si>
  <si>
    <t>ראשית - הקרקע הנרכשת מהווה רכוש קבוע. מדוע? לאור ייעודה לשרת את החברה (לשימוש עצמי).</t>
  </si>
  <si>
    <t xml:space="preserve">עלות פריט רכוש קבוע תכלול את כל העלויות ההכרחיות להבאת הפריט למיקום ולמצב שמיש, </t>
  </si>
  <si>
    <t>לרבות עלויות נלוות נדרשות להשלמת עסקת הרכישה עצמה (דמי תיווך, משפטיות ונלוות).</t>
  </si>
  <si>
    <t xml:space="preserve">במקרה זה - מדובר ב-1,000,000 של עלות רכישה ישירה בתוספת 200,000 של דמי תיווך. </t>
  </si>
  <si>
    <t>העלויות הנוצרות בתהליך ההקמה של מבנה המהווה רכוש קבוע - מצטרפות לערכו בספרים.</t>
  </si>
  <si>
    <t xml:space="preserve">על פי נתוני השאלה, מדובר ב-3,000,000 שיתהוו במהלך תקופת ההקמה כולה - 30.9.2013-30.9.2015. </t>
  </si>
  <si>
    <t xml:space="preserve">מטרתנו - לזקוף עלויות מ-30.9.2013 עד 31.12.2013: 3 חודשים מתוך השנתיים. בהינתן שעלויות </t>
  </si>
  <si>
    <t>ההקמה מתפלגות באופן אחיד על פני השנתיים, העלות שתיוחס למבנה בגין ההקמה עד לתום 2013:</t>
  </si>
  <si>
    <t xml:space="preserve">3,000,000 / 24 * 3 = </t>
  </si>
  <si>
    <t>יתרות רלוונטיות:</t>
  </si>
  <si>
    <t>רכוש קבוע:</t>
  </si>
  <si>
    <t>עלות</t>
  </si>
  <si>
    <t xml:space="preserve">1,200,000 + 375,000 = </t>
  </si>
  <si>
    <t>פחת נצבר</t>
  </si>
  <si>
    <t>ערך ספרים</t>
  </si>
  <si>
    <t>קרי, אין רישום של הוצאות פחת בשנת 2013.</t>
  </si>
  <si>
    <t>מדוע:</t>
  </si>
  <si>
    <r>
      <rPr>
        <b/>
        <sz val="12"/>
        <color theme="1"/>
        <rFont val="David"/>
      </rPr>
      <t>בסיסי</t>
    </r>
    <r>
      <rPr>
        <sz val="12"/>
        <color theme="1"/>
        <rFont val="David"/>
      </rPr>
      <t>: נתחיל בהכרה בפחת רק החל מהמועד שבו הנכס ״זמין לשימוש״.</t>
    </r>
  </si>
  <si>
    <r>
      <rPr>
        <b/>
        <sz val="12"/>
        <color theme="1"/>
        <rFont val="David"/>
      </rPr>
      <t>עמוק</t>
    </r>
    <r>
      <rPr>
        <sz val="12"/>
        <color theme="1"/>
        <rFont val="David"/>
      </rPr>
      <t xml:space="preserve">: פחת משקף את ״דפוס צריכת ההטבות הכלכליות הגלומות בנכס״. </t>
    </r>
  </si>
  <si>
    <t>מאליו יובן, שצריכת ההטבות, המשתקפת בפחת, לא יכולה להתקיים טרם מוכנות הנכס לשימוש,</t>
  </si>
  <si>
    <t>ובמקרה זה - טרם הושלמה פעילות ההקמה.</t>
  </si>
  <si>
    <t>האירוע בשנה זו פשוט למדי: התקדמות בבניית המבנה, אגב זקיפת עלויות נוספות בהתאם להתפלגות</t>
  </si>
  <si>
    <t>האחידה שלהן - הפעם, מדובר בשנה שלמה של בנייה:</t>
  </si>
  <si>
    <t xml:space="preserve">3,000,000 / 24 * 12 = </t>
  </si>
  <si>
    <t>אין יתרות תוצאתיות לדיווח בדוחות לשנה המסתיימת ב-31/12/2014.</t>
  </si>
  <si>
    <t>עת הושלמה ההקמה של פריט הנדל״ן המהווה רכוש קבוע - עלינו לזקוף את העלות הנותרת לערכו</t>
  </si>
  <si>
    <t>המאזני. לפי הסכום:</t>
  </si>
  <si>
    <t xml:space="preserve">3,000,000 / 24 * 9 = </t>
  </si>
  <si>
    <t>הואיל ומיד לאחר השקעת עלות זו - הפריט הפך להיות זמין לשימוש, הרי שמנקודה זו ואילך</t>
  </si>
  <si>
    <t>עלינו להכיר בגין פריט הרכוש הקבוע בהוצאות פחת.</t>
  </si>
  <si>
    <t>נשאלת השאלה, האם המשמעות הנובעת מכך היא שיש להכיר בפחת בגין המבנה כולו רק לחודשיים</t>
  </si>
  <si>
    <t>כלומר מ-30.9.2015-1.12.2015, ובגין חודש אחד, 12.2015, רק על 4 קומות?</t>
  </si>
  <si>
    <t>בהגדרה; והואיל ועל פי נתוני השאלה הפסקת השימושים בקומה אחת מתוך ה-5 בוצעה רק ב-2016,</t>
  </si>
  <si>
    <t>הרי שלאורך 2015 כולה הפריט מהווה רכוש קבוע - ויופחת החל ממועד זמינותו לשימוש עד לתום השנה</t>
  </si>
  <si>
    <t xml:space="preserve">כלומר כפי טווח התאריכים 30.9.2015-31.12.2015. </t>
  </si>
  <si>
    <t>העלות הכוללת של המבנה</t>
  </si>
  <si>
    <t xml:space="preserve">1,200,000 + 3,000,000 = </t>
  </si>
  <si>
    <t>בסיס הפחת:</t>
  </si>
  <si>
    <t xml:space="preserve">מהעלויות החיוניות לבניה עצמה. </t>
  </si>
  <si>
    <t>הוצאות הפחת ל-3 חודשים:</t>
  </si>
  <si>
    <t xml:space="preserve">3,000,000 / 25 * 3/12 = </t>
  </si>
  <si>
    <t>חילקנו את בסיס הפחת במספר השנים (25), קיבלנו פחת לשנה, וכפלנו בחלק היחסי שלה - 3/12.</t>
  </si>
  <si>
    <t>הוצאות פחת</t>
  </si>
  <si>
    <t>פחת נצבר - ר״ק מבנה</t>
  </si>
  <si>
    <t>הוצאות פחת:</t>
  </si>
  <si>
    <t xml:space="preserve">ב-1.3.2016, כנתון, החברה משנה ייעוד לקומה אחת מבין 5 קומות המבנה שברשותה, מרכוש קבוע </t>
  </si>
  <si>
    <t>הואיל ועומדים בגדר תנאי המעבר מרכוש קבוע לנדל״ן להשקעה, יש לדעת מהם עקרונות המדידה</t>
  </si>
  <si>
    <t>והזקיפה, וכיצד ליישמם:</t>
  </si>
  <si>
    <t>מרכוש קבוע (עלות) &gt;&gt;&gt; לנדל״ן להשקעה הנמדד בשווי הוגן.</t>
  </si>
  <si>
    <t>עד למועד המעבר - מדידה ״כרגיל״.</t>
  </si>
  <si>
    <t>במועד המעבר - על החלק היחסי המשנה ייעודו יש להפעיל הערכה מחדש.</t>
  </si>
  <si>
    <t>טכנית:</t>
  </si>
  <si>
    <t>איפוס פחת נצבר יחסי בגין הרכיב, כנגד חשבון ה״עלות״.</t>
  </si>
  <si>
    <t>התאמת חשבון ״העלות״ לשווי ההוגן של הרכיב.</t>
  </si>
  <si>
    <t>ממועד המעבר עד לתום תקופת הדיווח:</t>
  </si>
  <si>
    <t>רכיב הרכוש הקבוע הנותר: פחת ״כרגיל״</t>
  </si>
  <si>
    <t>רכיב הנדל״ן להשקעה: מדידה בשווי הוגן, וזקיפת הפרשים נוספים לרוו״ה.</t>
  </si>
  <si>
    <t>הוצאות הפחת לחודשיים:</t>
  </si>
  <si>
    <t xml:space="preserve">3,000,000 / 25 * 2/12 = </t>
  </si>
  <si>
    <t>פחת נצבר- ר״ק מבנה</t>
  </si>
  <si>
    <t xml:space="preserve">4,200,000 * 1/5 = </t>
  </si>
  <si>
    <t xml:space="preserve">(30,000 + 20,000) * 1/5 = </t>
  </si>
  <si>
    <t>שווי הוגן</t>
  </si>
  <si>
    <t xml:space="preserve">5,200,000 * 1/5 = </t>
  </si>
  <si>
    <t>עליית ערך לקרן הערכה</t>
  </si>
  <si>
    <t xml:space="preserve">1,040,000 - 830,000 = </t>
  </si>
  <si>
    <t>מה בדיוק קרה פה?</t>
  </si>
  <si>
    <t>על פי הנתונים, קומה אחת הפכה לנדל״ן להשקעה.</t>
  </si>
  <si>
    <t>הואיל והמעבר הוא רק על 1/5 מהפריט, תחילה חישבנו 1/5 מערך הספרים המעודכן של המבנה.</t>
  </si>
  <si>
    <t>לאחר שחישבנו אותה, השווינו אותה לשווי ההוגן של אותה קומה (לפי 1/5 מהמבנה כולו).</t>
  </si>
  <si>
    <t>הואיל וגילינו שההפרש שנוצר בין השווי העדכני של הקומה המועברת לנדל״ן להשקעה לבין ערך</t>
  </si>
  <si>
    <t>הקומה בספרים ערב המעבר חיובי - ההפרש נזקף לקרן הון (רווח כולל אחר).</t>
  </si>
  <si>
    <t xml:space="preserve">זכרו והזכרו: אילו היתה כאן דווקא ירידת ערך במועד השערוך הנ״ל, היה מוכר הפסד. </t>
  </si>
  <si>
    <t>בנוסף, אילו היה מוכר בעבר הפסד בגין הפריט טרם המעבר, עליית הערך היתה מוכרת ברווח והפסד.</t>
  </si>
  <si>
    <t xml:space="preserve">להרחבה בנושא זה - למי שלא מספיק רענן - ראו הערכה מחדש מפיננסית א. </t>
  </si>
  <si>
    <t>איפוס פחת נצבר:</t>
  </si>
  <si>
    <t>מה פקודה זו ״עושה״ (טכנית):</t>
  </si>
  <si>
    <t>לפני איפוס</t>
  </si>
  <si>
    <t>אחרי איפוס</t>
  </si>
  <si>
    <t>עליית הערך הכלכלית:</t>
  </si>
  <si>
    <t>הכרה בהערכה מחדש:</t>
  </si>
  <si>
    <t>קרן הערכה מחדש</t>
  </si>
  <si>
    <t>פקודת שינוי סיווג טכנית - מרכוש קבוע לנדל״ן להשקעה:</t>
  </si>
  <si>
    <t>העברה לנדל״ן להשקעה:</t>
  </si>
  <si>
    <t>נדל״ן להשקעה</t>
  </si>
  <si>
    <t>מכאן ואילך, כלומר מה-1.3.2016 עד לתום תקופת הדיווח - 31.12.2016, למעשה ברשותי שני סוגים נפרדים</t>
  </si>
  <si>
    <t xml:space="preserve">של פריטים: פריט רכוש קבוע, שערכו כולל 4 מתוך 5 קומות המבנה, ופריט נדל״ן להשקעה הנמדד בשווי </t>
  </si>
  <si>
    <t>הוגן, הכולל קומה אחת של המבנה.</t>
  </si>
  <si>
    <t>סיכום ביניים (לא לדיווח):</t>
  </si>
  <si>
    <t>נדל״ן להשקעה:</t>
  </si>
  <si>
    <t>ערך הספרים</t>
  </si>
  <si>
    <t>עלות:</t>
  </si>
  <si>
    <t xml:space="preserve">4,200,000 * 4/5 = </t>
  </si>
  <si>
    <t>פחת נצבר:</t>
  </si>
  <si>
    <t>30,000 + 20,000 - 10,000 =</t>
  </si>
  <si>
    <t xml:space="preserve">(4,200,000 - 1,200,000)/25 * 4/5 = </t>
  </si>
  <si>
    <t>רווח מעליית ערך</t>
  </si>
  <si>
    <t>גידול בקרן הערכה</t>
  </si>
  <si>
    <t>יתרת קרן הערכה</t>
  </si>
  <si>
    <t>בעוד שהפרשי השווי במועד המעבר נזקפו לקרן הון, לאור הנחיות התקן לפיהן יש לזקוף את ההפרש</t>
  </si>
  <si>
    <t xml:space="preserve">לרווח כולל אחר במצב כזה, הרי שבכל נקודת זמן עוקבת, לרבות בתום השנה שבמהלכה חל המעבר - </t>
  </si>
  <si>
    <t>יש לזקוף את עליית הערך בגין רכיב הנדל״ן הנמדד בשווי הוגן לרווח והפסד (לא לשנות את הקרן).</t>
  </si>
  <si>
    <t>פירוט כרטיסי חשבון</t>
  </si>
  <si>
    <t>מבנה - עלות (רכוש קבוע)</t>
  </si>
  <si>
    <t>רכישת קרקע</t>
  </si>
  <si>
    <t>עלות בניה</t>
  </si>
  <si>
    <t>יתרה לדיווח</t>
  </si>
  <si>
    <t>3,000,000 / 24 * 9 =</t>
  </si>
  <si>
    <t>הע. מחדש</t>
  </si>
  <si>
    <t>קיזוז כנגד פחת נצבר טרם הערכה מחדש</t>
  </si>
  <si>
    <t>העברה לנדל״ן להשקעה</t>
  </si>
  <si>
    <t>מבנה - הוצאות פחת</t>
  </si>
  <si>
    <t xml:space="preserve">הוצ׳ פחת </t>
  </si>
  <si>
    <t>לדיווח רוו״ה</t>
  </si>
  <si>
    <t>(3,000,000 * 4/5) / 25 * 10/12=</t>
  </si>
  <si>
    <t>לדוח רוו״ה</t>
  </si>
  <si>
    <t>מבנה - פחת נצבר (רכוש קבוע)</t>
  </si>
  <si>
    <t>כנגד רישום הוצאות פחת</t>
  </si>
  <si>
    <t>איפוס טרם הערכה מחדש</t>
  </si>
  <si>
    <t>העברה מרכוש קבוע</t>
  </si>
  <si>
    <t>עליית ערך כנגד רוו״ה</t>
  </si>
  <si>
    <t>רווח / הפסד מעליית ערך / ירידת ערך נדל״ן להשקעה</t>
  </si>
  <si>
    <t>עליית ערך</t>
  </si>
  <si>
    <t>יתרה לדיווח ברווח והפסד</t>
  </si>
  <si>
    <t>על פי הנתון, נרכשה קרקע בעלות 1,000,000 ש״ח, ומעבר לסכום זה, שולם גם למתווך סכום של 200,000 ש״ח נוספים.</t>
  </si>
  <si>
    <t xml:space="preserve">יש לסווגו כרכוש קבוע. </t>
  </si>
  <si>
    <t>בהתאם לנתון המפורש בשאלה, ייעוד קרקע הוא לשרת את הפעילות האדמיניסטרטיבית (מנהלתית) בחברה, ומשכך</t>
  </si>
  <si>
    <t>ב-30/9/2013 החלה החברה בתהליך הקמה בעלות כוללת של 3,000,000 שנפרסת על פני שנתיים החל מאותו מועד</t>
  </si>
  <si>
    <t>רכוש קבוע - מבנה (בהקמה)</t>
  </si>
  <si>
    <t>אין יתרות תוצאתיות (הוצאות, כגון הוצאות פחת) לדיווח בדוחות רווח והפסד לשנה המסתיימת ב-31/12/2013.</t>
  </si>
  <si>
    <t xml:space="preserve">1,575,000 + 1,500,000 = </t>
  </si>
  <si>
    <r>
      <t xml:space="preserve">על פי נתוני השאלה, ב-1.12.2015 </t>
    </r>
    <r>
      <rPr>
        <u/>
        <sz val="12"/>
        <color theme="1"/>
        <rFont val="David"/>
      </rPr>
      <t>החליטה</t>
    </r>
    <r>
      <rPr>
        <sz val="12"/>
        <color theme="1"/>
        <rFont val="David"/>
      </rPr>
      <t xml:space="preserve"> החברה להשכיר קומה אחת מבין 5 הקומות.</t>
    </r>
  </si>
  <si>
    <r>
      <t xml:space="preserve">אנו נדגיש: עיתוי שינוי הייעוד ברמה חשבונאית </t>
    </r>
    <r>
      <rPr>
        <u/>
        <sz val="12"/>
        <color theme="1"/>
        <rFont val="David"/>
      </rPr>
      <t>מרכוש קבוע</t>
    </r>
    <r>
      <rPr>
        <sz val="12"/>
        <color theme="1"/>
        <rFont val="David"/>
      </rPr>
      <t xml:space="preserve"> ל</t>
    </r>
    <r>
      <rPr>
        <u/>
        <sz val="12"/>
        <color theme="1"/>
        <rFont val="David"/>
      </rPr>
      <t>נדל״ן להשקעה</t>
    </r>
    <r>
      <rPr>
        <sz val="12"/>
        <color theme="1"/>
        <rFont val="David"/>
      </rPr>
      <t xml:space="preserve"> מתרחש אך ורק כאשר</t>
    </r>
  </si>
  <si>
    <r>
      <t xml:space="preserve">החברה המדווחת </t>
    </r>
    <r>
      <rPr>
        <b/>
        <sz val="12"/>
        <color theme="1"/>
        <rFont val="David"/>
      </rPr>
      <t>מפסיקה</t>
    </r>
    <r>
      <rPr>
        <sz val="12"/>
        <color theme="1"/>
        <rFont val="David"/>
      </rPr>
      <t xml:space="preserve"> </t>
    </r>
    <r>
      <rPr>
        <b/>
        <sz val="12"/>
        <color theme="1"/>
        <rFont val="David"/>
      </rPr>
      <t>לבצע שימוש</t>
    </r>
    <r>
      <rPr>
        <sz val="12"/>
        <color theme="1"/>
        <rFont val="David"/>
      </rPr>
      <t xml:space="preserve"> עצמי בפריט. עצם ההחלטה, מחייבת ככל שתהיה, לא עומדת</t>
    </r>
  </si>
  <si>
    <t>״לא פיניתהההה === לא שיניתההההה״ (מרכוש קבוע לנדל״ן להשקעה).</t>
  </si>
  <si>
    <t>בגין קרקע אין פחת. לכן הטיפול החשבונאי בה זהה לגרט / שייר.</t>
  </si>
  <si>
    <t>מתוך זה, קרקע (*):</t>
  </si>
  <si>
    <t>(*) עלות הקרקע כוללת, כזכור גם את עלויות דמי התיווך, שכן אלו נוצרו במועד רכישת הקרקע, ולא כחלק</t>
  </si>
  <si>
    <t>עלות בניכוי שייר (0) בניכוי קרקע (1,200,000)</t>
  </si>
  <si>
    <t>אופן חישוב הוצאות הפחת ל-3 חודשים (הפריט זמין מ-30/9/2015 עד 31/12/2015 בשנה זו):</t>
  </si>
  <si>
    <t>המונח ״עלות״ של פריט נדל״ן בהגדרה משקף עלות כוללת (כולל הקרקע)</t>
  </si>
  <si>
    <t xml:space="preserve">לנדל״ן להשקעה - באופן הנתמך בראייה גלויה ומספקת - הפסקת שימוש בקומה זו ע״י החברה (״פיניתהההה === שיניתהההה״). </t>
  </si>
  <si>
    <t>במועד המעבר מרכוש קבוע לנדל״ש-שווי הוגן, יש לטפל ברכיב המועבר כמו ברכוש קבוע המוערך מחדש.</t>
  </si>
  <si>
    <t xml:space="preserve">״שי, איך הגעת ל-1,040,000?״ </t>
  </si>
  <si>
    <t>התשובה: ערב המעבר העלות המופחתת של הרכיב המועבר היתה 830,000, אך טרם המעבר בוצעה הערכה מחדש,</t>
  </si>
  <si>
    <t>שבמסגרתה הוגדל ערך הפריט ב-210,000 ש״ח ל-1,040,000. סכום מצרפי זה של 1,040,000 ימויין לנדל״ש.</t>
  </si>
  <si>
    <t>סוגיה ראשונה ותרגולה הבסיסי - מעבר מנדל״ן להשקעה למלאי</t>
  </si>
  <si>
    <t>תזכורת לגבי הגדרת מלאי:</t>
  </si>
  <si>
    <t xml:space="preserve">מלאי הוא נכס שוטף המוחזק למכירה במהלך העסקים הרגיל של הישות המדווחת, כלומר כחלק מעיסוקה </t>
  </si>
  <si>
    <t xml:space="preserve">המרכזי. ספציפית, בהקשר שבו אנו דנים כעת - לעניין המעבר מנדל״ן להשקעה למלאי - כמובן שמדובר </t>
  </si>
  <si>
    <t>בסיטואציה שרלוונטית רק לחברה שמוכרת פריטי נדל״ן בשוטף - חברה קבלנית.</t>
  </si>
  <si>
    <t>אופן מדידת מלאי:</t>
  </si>
  <si>
    <t>מלאי נמדד לפי הנמוך מבין שני ערכים לכל תאריך דיווח:</t>
  </si>
  <si>
    <t>א. עלות - ערך הספרים של הנדל״ן המועבר למלאי, ערב המעבר.</t>
  </si>
  <si>
    <t xml:space="preserve">ב. שווי מימוש נטו (מחיר מכירה צפוי, בניכוי עלויות השלמה ומכירה). </t>
  </si>
  <si>
    <t>מעבר מנדל״ן להשקעה &gt;&gt;&gt; למלאי:</t>
  </si>
  <si>
    <r>
      <rPr>
        <b/>
        <sz val="12"/>
        <color theme="1"/>
        <rFont val="David"/>
      </rPr>
      <t>מדידה וזקיפה</t>
    </r>
    <r>
      <rPr>
        <sz val="12"/>
        <color theme="1"/>
        <rFont val="David"/>
      </rPr>
      <t xml:space="preserve"> - מדידה לפי הנחיות IAS 40 עד למועד השינוי (לפי עלות או שווי הוגן בהתאמה) כאשר הערך</t>
    </r>
  </si>
  <si>
    <t xml:space="preserve">בספרים של הפריט ערב המעבר יהווה את העלות לצורך יישום מדידת המלאי בתקופות עוקבות לפי IAS 2. </t>
  </si>
  <si>
    <t>מעבר ממלאי &gt;&gt;&gt; לנדל״ן להשקעה:</t>
  </si>
  <si>
    <r>
      <rPr>
        <b/>
        <sz val="12"/>
        <color theme="1"/>
        <rFont val="David"/>
      </rPr>
      <t>מדידה וזקיפה</t>
    </r>
    <r>
      <rPr>
        <sz val="12"/>
        <color theme="1"/>
        <rFont val="David"/>
      </rPr>
      <t xml:space="preserve"> - המעבר מטופל כמכירה במידה והנדל״ן להשקעה נמדד בשווי הוגן. אם הוא נמדד לפי עלות, </t>
    </r>
  </si>
  <si>
    <t>ממשיכים למדוד לפי ערך הספרים הקיים.</t>
  </si>
  <si>
    <t>תרגיל 2 - מעבר מנדל״ן להשקעה למלאי</t>
  </si>
  <si>
    <r>
      <t>בתאריך</t>
    </r>
    <r>
      <rPr>
        <sz val="12"/>
        <color rgb="FFFF0000"/>
        <rFont val="David"/>
      </rPr>
      <t xml:space="preserve"> 1 במרס 2014</t>
    </r>
    <r>
      <rPr>
        <sz val="12"/>
        <color theme="1"/>
        <rFont val="David"/>
      </rPr>
      <t xml:space="preserve"> רכשה חברה קבלנית מבנה משרדים מסחרי ברעננה בתמורה ל-480,000 ש״ח. עלויות נלוות </t>
    </r>
  </si>
  <si>
    <t xml:space="preserve">להשלמת העסקה הסתכמו ב-20,000 ש״ח נוספים, וסמנכ״ל הכספים של החברה טוען שיש לזקוף אותן לרווח והפסד. </t>
  </si>
  <si>
    <t xml:space="preserve">במועד שבו נרכש המשרד, הושכר המבנה לעורכי דין באיזור. </t>
  </si>
  <si>
    <t xml:space="preserve">לאחר מספר חודשי השכרה, שלוו בתלונות רבות של דיירים, וכן בהינתן התשואה היחסית הנמוכה על ההון </t>
  </si>
  <si>
    <t>שהושקע בחברה, הוחלט בישיבת הדירקטוריון כי יש למכור את המבנה. ההחלטה של הדירקטוריון על הסבת</t>
  </si>
  <si>
    <r>
      <t>ייעוד המבנה בוצעה ב-</t>
    </r>
    <r>
      <rPr>
        <sz val="12"/>
        <color rgb="FFFF0000"/>
        <rFont val="David"/>
      </rPr>
      <t>1.5.2014</t>
    </r>
    <r>
      <rPr>
        <sz val="12"/>
        <color theme="1"/>
        <rFont val="David"/>
      </rPr>
      <t xml:space="preserve">, והשיפוץ של המבנה על מנת להכינו למכירה </t>
    </r>
    <r>
      <rPr>
        <sz val="12"/>
        <color rgb="FFFF0000"/>
        <rFont val="David"/>
      </rPr>
      <t>החל ב-30 ביוני 2014</t>
    </r>
    <r>
      <rPr>
        <sz val="12"/>
        <color theme="1"/>
        <rFont val="David"/>
      </rPr>
      <t xml:space="preserve">, וזאת מתוך </t>
    </r>
  </si>
  <si>
    <t xml:space="preserve">אמונה שלמה שהשבחת המבנה תאפשר מכירתו בתמורה הגבוהה יותר מהסכום המצרפי של עלות הרכישה </t>
  </si>
  <si>
    <t>וההשקעות בשיפוץ. נכון למועד זה, מסתכם שוויו ההוגן של המבנה ב-575,000 ש״ח.</t>
  </si>
  <si>
    <r>
      <t xml:space="preserve">לאחר עבודה מאומצת מאד בחברה, </t>
    </r>
    <r>
      <rPr>
        <sz val="12"/>
        <color rgb="FFFF0000"/>
        <rFont val="David"/>
      </rPr>
      <t>הושלם השיפוץ ב-31 בדצמבר 2014</t>
    </r>
    <r>
      <rPr>
        <sz val="12"/>
        <color theme="1"/>
        <rFont val="David"/>
      </rPr>
      <t xml:space="preserve">. נכון למועד זה, עומד שוויו ההוגן </t>
    </r>
  </si>
  <si>
    <r>
      <t xml:space="preserve">של המבנה על 610,000 ש״ח. </t>
    </r>
    <r>
      <rPr>
        <sz val="12"/>
        <color rgb="FFFF0000"/>
        <rFont val="David"/>
      </rPr>
      <t>עלות השיפוץ הסתכמה ב-30,000 ש״ח</t>
    </r>
    <r>
      <rPr>
        <sz val="12"/>
        <color theme="1"/>
        <rFont val="David"/>
      </rPr>
      <t>, והעלויות הכרוכות במכירת הנכס מסתכמות</t>
    </r>
  </si>
  <si>
    <t>ב-10,000 ש״ח.</t>
  </si>
  <si>
    <t>החברה מיישמת את הנחיות IAS 40 לעניין הטיפול בפריטי נדל״ן להשקעה שבבעלותה, כאשר בסיס המדידה</t>
  </si>
  <si>
    <t xml:space="preserve">המיושם למדידת פריטי נדל״ן אלו הוא השווי ההוגן. </t>
  </si>
  <si>
    <t>כמו כן, החברה מיישמת את הנחיות IAS 2 לעניין הטיפול בפריטי מלאי שברשותה, כאשר מדידתם בכל תקופת</t>
  </si>
  <si>
    <t xml:space="preserve">דיווח מבוצעת בהתאם להנחיות התקן לפי הנמוך מבין עלות לבין שווי מימוש נטו. </t>
  </si>
  <si>
    <t>פתרון תרגיל 2 - מעבר מנדל״ן להשקעה למלאי</t>
  </si>
  <si>
    <t>את פריט הנדל״ן למצב בר-מכירה.</t>
  </si>
  <si>
    <t>לפיכך זהו תאריך סרק, ואין לתעד בו ערכים חשבונאיים.</t>
  </si>
  <si>
    <t>מועד המעבר מנדל״ן להשקעה למלאי</t>
  </si>
  <si>
    <t>ראו הסבר מפורט מטה.</t>
  </si>
  <si>
    <r>
      <t xml:space="preserve">בתאריך זה, חל שינוי ייעוד מנדל״ן להשקעה למלאי, וזאת לאור הפעילות הפיזית (שיפוץ) </t>
    </r>
    <r>
      <rPr>
        <u/>
        <sz val="12"/>
        <color theme="1"/>
        <rFont val="David"/>
      </rPr>
      <t>להכנת הפריט למכירה</t>
    </r>
    <r>
      <rPr>
        <sz val="12"/>
        <color theme="1"/>
        <rFont val="David"/>
      </rPr>
      <t>.</t>
    </r>
  </si>
  <si>
    <t>ערך ספרים טרם המעבר</t>
  </si>
  <si>
    <t>שווי הוגן עדכני במועד המעבר</t>
  </si>
  <si>
    <t>הפרש - עליית ערך לרווח והפסד</t>
  </si>
  <si>
    <t>כעת תירשם פקודת יומן טכנית להסבת סכום הנדל״ן (575,000) מחשבון נדל״ן להשקעה לחשבון המלאי:</t>
  </si>
  <si>
    <t>מלאי</t>
  </si>
  <si>
    <t>מועד הדיווח</t>
  </si>
  <si>
    <t>על פי הנתון, בין מועד המעבר 30/6/2014 עד למועד הדיווח 31/12/2014, הושקעו עלויות שיפוץ בסך 30,000 ש״ח.</t>
  </si>
  <si>
    <t>עלויות אלו תתווספנה לערך הספרים של המלאי - ולא ייזקפו כהוצאה.</t>
  </si>
  <si>
    <t xml:space="preserve">כעת, רגע לפני שנסגור את הספרים ונדווח על המלאי, ניזכר בעיקרון מדידתו לצורך הצגה בדוחות הכספיים - </t>
  </si>
  <si>
    <t>שווי מימוש נטו:</t>
  </si>
  <si>
    <t>כוללת את ערך הספרים ערב המעבר</t>
  </si>
  <si>
    <t>שווי הוגן (קירוב למחיר מכירה צפוי)</t>
  </si>
  <si>
    <t>בתוספת עלות השיפוץ</t>
  </si>
  <si>
    <t>בניכוי עלויות השלמה</t>
  </si>
  <si>
    <t>סך העלות</t>
  </si>
  <si>
    <t>בניכוי עלויות מכירה</t>
  </si>
  <si>
    <t>סך הכל שווי מימוש נטו</t>
  </si>
  <si>
    <t xml:space="preserve">הנמוך מבין שני הערכים - הוא שווי המימוש נטו, ולכן יש לדאוג להצגת הפריט בדוחות הכספיים כמלאי בסכום של 600,000. </t>
  </si>
  <si>
    <t>הפסד מי״ע מלאי</t>
  </si>
  <si>
    <t>(*)</t>
  </si>
  <si>
    <t>שימו לב: הואיל וההגדרה היא שהמלאי נמדד לפי הנמוך מבין עלות לשווי מימוש נטו, אזי אם שווי המימוש נטו</t>
  </si>
  <si>
    <t xml:space="preserve">היה גבוה מהעלות (למשל, 650,000 ש״ח) לא היינו מתעדים פעולה נוספת. </t>
  </si>
  <si>
    <t>רכישה</t>
  </si>
  <si>
    <t>רווח מע״ע</t>
  </si>
  <si>
    <t>שינוי ייעוד</t>
  </si>
  <si>
    <t>סיכום ביניים</t>
  </si>
  <si>
    <t>יתרה</t>
  </si>
  <si>
    <t>רווח מע״ע נדל״ן</t>
  </si>
  <si>
    <t>שיפוץ</t>
  </si>
  <si>
    <t>הפסד מי״ע</t>
  </si>
  <si>
    <t>סוגיה שניה ותרגולה: משמעות עירוב השימושים וחלוקה לרכיבים (גם לגבי רכוש קבוע)</t>
  </si>
  <si>
    <t>בשלב זה אנו כבר יודעים: כאשר קיים פריט רכוש קבוע המורכב מחלקים שונים, שכל אחד מהם הוא בעל אורך חיים</t>
  </si>
  <si>
    <t xml:space="preserve">שימושיים שונה, המדידה על בסיס הפחתה תתייחס להפחתת כל רכיב בנפרד. </t>
  </si>
  <si>
    <t xml:space="preserve">אנו נדגים עובדה זו בתרגיל להלן, שכולל גם מעבר כשיר מרכוש קבוע לנדל״ן להשקעה, ונתייחס למשמעות המונח </t>
  </si>
  <si>
    <t>רכיב בר הפרדה.</t>
  </si>
  <si>
    <t>תרגיל 3 - עירוב שימושים, שינוי ייעוד וחלוקה לרכיבים</t>
  </si>
  <si>
    <t>חברת ״מקבוקית״ בע״מ רכשה ביום 1 בינואר 2007 את פריטי הרכוש הבאים:</t>
  </si>
  <si>
    <t>א. מבנה נדל״ן מסחרי בתל אביב, בעלות של 1,000,000 ש״ח. בהתאם לתחשיבי החברה, 30% מהעלות מיוחסת</t>
  </si>
  <si>
    <t xml:space="preserve">לקרקע, בעוד ש-10% מיוחסים למעליות שאורך חייהן השימושיים 10 שנים. היתרה מיוחסת לבניין, שאורך </t>
  </si>
  <si>
    <t xml:space="preserve">חייו השימושיים נאמד ב-25 שנים. </t>
  </si>
  <si>
    <t>ב. ריהוט משרדי למבנה המתואר בסעיף א - בעלות כוללת של 150,000 ש״ח, אשר אורך חייו השימושיים נאמד</t>
  </si>
  <si>
    <t xml:space="preserve">ב-8 שנים. יש להניח כי מיקום הריהוט מתפלג באופן אחיד בין המשרדים שבמבנה. </t>
  </si>
  <si>
    <t xml:space="preserve">ג. מבנה המשרדים שימש את החברה החל ממועד רכישתו כמשרדים לטובת הנהלת החברה. </t>
  </si>
  <si>
    <t xml:space="preserve">ד. ב-1.1.2009 שכרה החברה מבנה משרדים ביקנעם, והעבירה אליו חלק מעובדיה, מטעמי התייעלות. </t>
  </si>
  <si>
    <t>בעקבות המעבר, התפנו מחצית מקומות מבנה המשרדים בתל אביב, והוא הוצע להשכרה. לא חל שינוי באופן</t>
  </si>
  <si>
    <t xml:space="preserve">פריסת הריהוט בין המשרדים במבנה (החלק המושכר - מושכר כ״מרוהט״). </t>
  </si>
  <si>
    <t>ב-1.2.2009 אוכלס החלק במבנה שהוצע להשכרה במלואו על ידי שוכרים.</t>
  </si>
  <si>
    <t>להלן נתונים בדבר שוויו ההוגן של המבנה בכללותו, תוך פירוט השווי ההוגן של הקרקע והשווי ההוגן של</t>
  </si>
  <si>
    <t>מבנה המשרדים בנטרול רכיב הקרקע, בש״ח:</t>
  </si>
  <si>
    <t>שווי כולל</t>
  </si>
  <si>
    <t>שווי קרקע</t>
  </si>
  <si>
    <t>שווי מבנה - ללא הקרקע</t>
  </si>
  <si>
    <t>החברה מיישמת את מודל העלות לשם מדידת כלל קבוצות פריטי הרכוש הקבוע שברשותה, ומיישמת את שיטת</t>
  </si>
  <si>
    <t>הפחת ״קו ישר״. יש להניח כי לכל אורך התקופות המתוארות, לא התקיימו סממנים העלולים להעיד על הצורך</t>
  </si>
  <si>
    <t xml:space="preserve">בביצוע הפרשה לירידת ערך בהתאם להנחיות IAS 36. </t>
  </si>
  <si>
    <t>החברה מיישמת את מודל השווי ההוגן למדידת פריטי הנדל״ן להשקעה שבבעלותה בהתאם להנחיות המקבילות</t>
  </si>
  <si>
    <t xml:space="preserve">הנכללות ב - IAS 40. </t>
  </si>
  <si>
    <t>יש להתעלם מהיבטי מסים על ההכנסה.</t>
  </si>
  <si>
    <t>נדרש: כיצד יוצג המבנה, נטו, על רכיביו במאזני החברה לימים 31 בדצמבר בכל אחת מהשנים 2007, 2008, 2009, 2010?</t>
  </si>
  <si>
    <t xml:space="preserve">הציגו בנוסף את הסעיפים התוצאתיים שיושפעו בדוחות רווח והפסד בגין הרכוש לעיל. </t>
  </si>
  <si>
    <t xml:space="preserve">לתשומת הלב: יש לפתור בצורה קצרה ויעילה, ללא פקודות יומן וכרטיסי חשבון. </t>
  </si>
  <si>
    <t>פתרון תרגיל 3 - עירוב שימושים, שינוי ייעוד וחלוקה לרכיבים</t>
  </si>
  <si>
    <t>רקע:</t>
  </si>
  <si>
    <t>התרגיל מתחיל בדיון בסיסי בדבר רכישת מבנה - בעלות מצרפית מסויימת, כאשר העלות מיוחסת לרכיבים שונים.</t>
  </si>
  <si>
    <t>עלות כוללת: 1,000,000</t>
  </si>
  <si>
    <t>שיעור העלות המיוחס למעלית: 10%</t>
  </si>
  <si>
    <t>עלות מיוחסת: 100,000</t>
  </si>
  <si>
    <t xml:space="preserve">עלות מיוחסת למבנה עצמו: </t>
  </si>
  <si>
    <t>המשלים של יתר הרכיבים ל-1,000,000:</t>
  </si>
  <si>
    <t>שיעור העלות המיוחסת לקרקע: 30%</t>
  </si>
  <si>
    <t>עלות מיוחסת: 300,000</t>
  </si>
  <si>
    <t>בנוסף, ישנם נתונים בשאלה על ריהוט שעלותו 150,000.</t>
  </si>
  <si>
    <t>האם הריהוט הוא חלק אינטגרלי מקבוצת הרכוש הקבוע</t>
  </si>
  <si>
    <t>של מבנים וקרקעות? התשובה שלילית. מדובר ברכיב</t>
  </si>
  <si>
    <t xml:space="preserve">נוסף ובר הפרדה. </t>
  </si>
  <si>
    <t>מעבר להפרדה לצורך הפחתה, נראה שיש לכך משמעות</t>
  </si>
  <si>
    <t>במועד המעבר הכשיר לנדל״ן להשקעה</t>
  </si>
  <si>
    <t>הריהוט שנרכש</t>
  </si>
  <si>
    <t>אופן המדידה וההצגה במועד ההכרה לראשונה</t>
  </si>
  <si>
    <t>רכיב מבנים וקרקעות:</t>
  </si>
  <si>
    <t>PN</t>
  </si>
  <si>
    <t xml:space="preserve">30% * 1,000,000 = </t>
  </si>
  <si>
    <t>מעליות</t>
  </si>
  <si>
    <t xml:space="preserve">10% * 1,000,000 = </t>
  </si>
  <si>
    <t>סה״כ</t>
  </si>
  <si>
    <t>רכיב ריהוט (נפרד):</t>
  </si>
  <si>
    <t>אופן המדידה וההצגה בחלוף שנת הפחתה אחת</t>
  </si>
  <si>
    <t>תקופות הפחתה:</t>
  </si>
  <si>
    <t>שנים</t>
  </si>
  <si>
    <t>איננה מופחתת</t>
  </si>
  <si>
    <t>ריהוט</t>
  </si>
  <si>
    <t>יתרת הספרים של רכיב המבנים והקרקעות, נטו:</t>
  </si>
  <si>
    <t xml:space="preserve">600,000 * 24/25 = </t>
  </si>
  <si>
    <t xml:space="preserve">100,000 * 9/10 = </t>
  </si>
  <si>
    <t>יתרת הספרים נטו של הריהוט:</t>
  </si>
  <si>
    <t xml:space="preserve">150,000 * 7/8 = </t>
  </si>
  <si>
    <t>הוצאות הפחת:</t>
  </si>
  <si>
    <t>כמובן שניתן לחשב את הוצאות הפחת בצורה ״ישירה״ על בסיס הפחתת הרכיבים:</t>
  </si>
  <si>
    <t>גם בשנה זו, בדומה ל-2007, לא היו שינויים מיוחדים, שינויי ייעוד או כל נתון אחר המעיד על ״הפרעה״</t>
  </si>
  <si>
    <t xml:space="preserve">להפחתה ״סטנדרטית״ רגילה. </t>
  </si>
  <si>
    <t xml:space="preserve">600,000 * 23/25 = </t>
  </si>
  <si>
    <t xml:space="preserve">100,000 * 8/10 = </t>
  </si>
  <si>
    <t xml:space="preserve">150,000 * 6/8 = </t>
  </si>
  <si>
    <t>בהתאם להנחיות IAS 40, שינוי ייעוד מרכוש קבוע לנדל״ן להשקעה חייב להתמך בראייה מרכזית אחת: הפסקת</t>
  </si>
  <si>
    <t>שימוש על ידי הבעלים (הפסקת שימוש על ידי החברה עצמה).</t>
  </si>
  <si>
    <t>בנתוני השאלה, הוזכר מפורשות שב-1.1.2009 החברה הפסיקה להשתמש בפועל במחצית מהמבנה, וייעדה אותו</t>
  </si>
  <si>
    <t xml:space="preserve">להשכרה החל ממועד זה. בהינתן העמידה בתנאי הפסקת השימושים, שינוי הייעוד נכנס לתוקף. </t>
  </si>
  <si>
    <t xml:space="preserve">כיצד מטופלת המדידה במעבר כשיר במצב כזה? כשם שמטופלת הערכה מחדש בהתאם להנחיות IAS 16. </t>
  </si>
  <si>
    <t xml:space="preserve">מה דינו של סיווג הריהוט בהינתן העובדה שחלק ממנו מצוי בקומות המפונות שמיועדות להשכרה? </t>
  </si>
  <si>
    <t>המחצית המטופלת</t>
  </si>
  <si>
    <t>המחצית המטופלת כנדל״ן להשקעה</t>
  </si>
  <si>
    <t>כרכוש קבוע</t>
  </si>
  <si>
    <t>ערב המעבר</t>
  </si>
  <si>
    <t xml:space="preserve">552,000 * 50% = </t>
  </si>
  <si>
    <t xml:space="preserve">300,000 * 50% = </t>
  </si>
  <si>
    <t xml:space="preserve">80,000 * 50% = </t>
  </si>
  <si>
    <t>ריהוט, נטו</t>
  </si>
  <si>
    <t xml:space="preserve">רכיב נפרד, לא מפוצל </t>
  </si>
  <si>
    <t xml:space="preserve">1,195,000*50% = </t>
  </si>
  <si>
    <t>מול נדל״ן להשקעה</t>
  </si>
  <si>
    <t>זקיפה לקרן</t>
  </si>
  <si>
    <t xml:space="preserve">597,500 - 466,000 = </t>
  </si>
  <si>
    <t>מדידה ודיווח</t>
  </si>
  <si>
    <t>רכוש קבוע</t>
  </si>
  <si>
    <t>נטו</t>
  </si>
  <si>
    <t xml:space="preserve">1,240,000 * 50% = </t>
  </si>
  <si>
    <t>ערך קודם</t>
  </si>
  <si>
    <t>ע״ע לרוו״ה</t>
  </si>
  <si>
    <t xml:space="preserve">620,000 - 597,500 = </t>
  </si>
  <si>
    <t xml:space="preserve">150,000*5/8 = </t>
  </si>
  <si>
    <t>אופן חישוב הוצאות הפחת - רק המחצית הרלוונטית:</t>
  </si>
  <si>
    <t>השפעה על רווח והפסד - רווח מע״ע:</t>
  </si>
  <si>
    <t xml:space="preserve">600,000*21/25*50% = </t>
  </si>
  <si>
    <t xml:space="preserve">1,200,000 * 50% = </t>
  </si>
  <si>
    <t xml:space="preserve">100,000*6/10*50% = </t>
  </si>
  <si>
    <t xml:space="preserve">150,000*4/8 = </t>
  </si>
  <si>
    <t>בתקופה לאחר שינוי הייעוד החלקי (לא כל המבנה הפך לנדל״ש):</t>
  </si>
  <si>
    <t>עלינו להפריד את אופן המדידה בין הרכיבים.</t>
  </si>
  <si>
    <t>א. רכיב רכוש קבוע / עלות / פחת קו ישר</t>
  </si>
  <si>
    <t>ב. רכיב נדל״ש / שווי הוגן</t>
  </si>
  <si>
    <t>רשות</t>
  </si>
  <si>
    <t>עלות פריט נדל״ן להשקעה תכלול לא רק את עלות הרכישה (480,000) אלא גם עלויות נלוות להשלמת עסקת הרכש (20,000).</t>
  </si>
  <si>
    <t>מועד הרכישה</t>
  </si>
  <si>
    <t xml:space="preserve">480,000 + 20,000 = </t>
  </si>
  <si>
    <t>הדירקטוריון מחליט לשנות ייעוד למכירה</t>
  </si>
  <si>
    <t>בתור עלות פריט המלאי ש״נוצר״. כאן, שניה טרם שינוי הסיווג המדידה לפי 575,000 ויש לזקוף אותה מחדש</t>
  </si>
  <si>
    <t>לנכס המלאי - ב-30/6/2014.</t>
  </si>
  <si>
    <r>
      <t xml:space="preserve">התשובה היא שהואיל והריהוט - בשונה ממעליות או קרקע למשל  </t>
    </r>
    <r>
      <rPr>
        <u/>
        <sz val="12"/>
        <color rgb="FFFF0000"/>
        <rFont val="David"/>
      </rPr>
      <t>ניתן להפרדה</t>
    </r>
    <r>
      <rPr>
        <sz val="12"/>
        <color rgb="FFFF0000"/>
        <rFont val="David"/>
      </rPr>
      <t xml:space="preserve"> - הוא ממשיך להמדד בנפרד, כרכוש קבוע.</t>
    </r>
  </si>
  <si>
    <t>מיד לאחר המעבר</t>
  </si>
  <si>
    <t>השפעה על רווח והפסד - הפסד מי״ע:</t>
  </si>
  <si>
    <t>נושא העל - נכסים בלתי מוחשיים (נב״מים) - IAS 38</t>
  </si>
  <si>
    <t>רקע עקרוני (נאום פתיחה של שייקה)</t>
  </si>
  <si>
    <t>התחלת דיון פורמלי לפי IAS 38 - הגדרת נכס בלתי מוחשי</t>
  </si>
  <si>
    <t>נכס בלתי מוחשי - Intangible Asset הוא נכס בעל המאפיינים הבאים:</t>
  </si>
  <si>
    <t>א. נכס לא כספי</t>
  </si>
  <si>
    <t>ג. חסר מהות פיזית</t>
  </si>
  <si>
    <t>נדון תחילה בכל אחד מהמאפיינים בנפרד.</t>
  </si>
  <si>
    <t>מה המשמעות של ״נכס לא כספי״?</t>
  </si>
  <si>
    <t xml:space="preserve">נסביר באמצעות ההגדרה של המונח ״נכס כספי״ (Monetary Asset): </t>
  </si>
  <si>
    <t>א. כסף שמוחזק (מזומן), וכן:</t>
  </si>
  <si>
    <t>ב. נכסים שיתקבלו בסכומי כסף קבועים או ניתנים לקביעה</t>
  </si>
  <si>
    <t>הגדרה א - ברורה מאליה. אבל מה לגבי הגדרה ב? מהם ״נכסים שיתקבלו בסכומי כסף קבועים או ניתנים לקביעה״?</t>
  </si>
  <si>
    <t>כיצד ניתן להדגים זאת?</t>
  </si>
  <si>
    <t>התשובה: המהות של נכס כספי דורשת סילוק שלו בסכומי מזומנים ידועים; כך למשל, נכס לקוחות - יסולק בתמורה</t>
  </si>
  <si>
    <t xml:space="preserve">לסילוק חוב הלקוח המהווה סכום כסף קבוע / ידוע בהתאם לתנאי החוזה. משכך, נכס הלקוחות הוא נכס כספי. </t>
  </si>
  <si>
    <t>פקדון הנושא ריבית, הוא נכס כספי - שכן גם אם נושא ריבית שמשתנה מתקופה לתקופה, ניתן לקבוע את הסכום</t>
  </si>
  <si>
    <t xml:space="preserve">לדעת מראש מה תהיה תמורת המימוש שלהן. לכן, על פניו, ניתן היה לכאורה לדון במניות כנכס בלתי מוחשי. </t>
  </si>
  <si>
    <t xml:space="preserve">אלא שתקני חשבונאות ספציפיים אחרים (IAS 32, IFRS 9) עוסקים במכשירים פיננסיים ומשכך גם נכסים פיננסיים </t>
  </si>
  <si>
    <t xml:space="preserve">שאינם כספיים אינם חוסים בתחולת התקן (סעיף 2א לפרק התחולה ב - IAS 38). </t>
  </si>
  <si>
    <t>מה המשמעות של ״ניתן לזיהוי״?</t>
  </si>
  <si>
    <t>בהתאם לסעיף 11 ב - IAS 38:</t>
  </si>
  <si>
    <t>ההגדרה של נכס בלתי מוחשי דורשת שנכס בלתי מוחשי יהיה ניתן לזיהוי על מנת להבדיל בינו</t>
  </si>
  <si>
    <t>לבין מוניטין. מוניטין שהוכר בצירוף עסקים הוא נכס המייצג הטבות כלכליות עתידיות</t>
  </si>
  <si>
    <t>הנובעות מנכסים אחרים שנרכשו בצירוף עסקים אשר אינם ניתנים לזיהוי בנפרד ואינם</t>
  </si>
  <si>
    <t xml:space="preserve">ניתנים להכרה בנפרד. </t>
  </si>
  <si>
    <t>ההטבות הכלכליות העתידיות עשויות לנבוע מסינרגיה בין הנכסים הניתנים לזיהוי שנרכשו או</t>
  </si>
  <si>
    <t>מנכסים אשר בנפרד אינם כשירים להכרה בדוחות הכספיים.</t>
  </si>
  <si>
    <t>אבל מה פשרו של ״מוניטין״, שייקה?</t>
  </si>
  <si>
    <t>בהתאם לסעיף 48 ב - IAS 38:</t>
  </si>
  <si>
    <t>מוניטין אשר נוצר בישות לא יוכר כנכס.</t>
  </si>
  <si>
    <t>כדי להבין מהו מוניטין, בצורה מאד נאיבית ובסיסית, ניקח אירוע קטן לדוגמא:</t>
  </si>
  <si>
    <t>מאזן חברת ״ביצי״ הוא כדלקמן:</t>
  </si>
  <si>
    <t>נכסים</t>
  </si>
  <si>
    <t>הון עצמי</t>
  </si>
  <si>
    <t>מזומן: 100</t>
  </si>
  <si>
    <t>הון מניות: 100</t>
  </si>
  <si>
    <t>נדרש: מהו המוניטין שנוצר / נזקף בעסקה? מהי משמעותו?</t>
  </si>
  <si>
    <t xml:space="preserve">החברה הנרכשת בעלת הון עצמי של 100, ושילמו עליה 150. </t>
  </si>
  <si>
    <t>האם הרוכשת ״פראיירית״?</t>
  </si>
  <si>
    <t>כנראה לא; אם היא (הרוכשת) עשתה שיעורי בית, סביר להניח שהיא מוכנה לשלם 50 יותר, משום שהרכישה</t>
  </si>
  <si>
    <t>מניבה לה ערך שגדול יותר מסך ההון העצמי בנרכשת;</t>
  </si>
  <si>
    <t>איך יכול להיות?</t>
  </si>
  <si>
    <t>כי החשבונאות ״לא רואה ולא מראה הכל״. כי היא מבוססת ״עובדות״ והיא שמרנית.</t>
  </si>
  <si>
    <t>אם למשל החברה הרוכשת סבורה שעל ידי רכישה זו היא תוכל להפיק ערך מוסף הנובע ״מסינרגיה״ (שיתוף פעולה</t>
  </si>
  <si>
    <t>בין החברות המוביל לביצועי שיא) - הרי שהחשבונאות לא יודעת להתייחס לסינרגיה זו;</t>
  </si>
  <si>
    <t xml:space="preserve">אם למשל החברה הרוכשת מעריכה את הרעיון העסקי או הפוטנציאל העתידי ומתמחרת אותו בעלות הרכישה - </t>
  </si>
  <si>
    <t xml:space="preserve">החשבונאות לא תאפשר לכלול בספרי הנרכשת ערך זה. </t>
  </si>
  <si>
    <t>הואיל ובמקרים רבים משלמים עודף עלות על רכיבים שאינם בגדר נכסים מזוהים ספציפית - אותו רכיב ייקרא</t>
  </si>
  <si>
    <t xml:space="preserve">בשם הכללי ״מוניטין״ (ובאנגלית - Goodwill). </t>
  </si>
  <si>
    <t>ספציפית במקרה זה:</t>
  </si>
  <si>
    <t>שולם בעד הנרכשת:</t>
  </si>
  <si>
    <t>הון עצמי בנרכשת:</t>
  </si>
  <si>
    <t>הפרש - עודף עלות:</t>
  </si>
  <si>
    <t>החלק המיוחס לנכסים ספציפיים:</t>
  </si>
  <si>
    <t>החלק המיוחס לנכסים לא מזוהים:</t>
  </si>
  <si>
    <t>זה מה שנקרא ״מוניטין״</t>
  </si>
  <si>
    <t>בקצרה:</t>
  </si>
  <si>
    <t>כאשר חברה רוכשת חברה אחרת, ומשלמת סכומים עודפים, באופן שלא ניתן להסבר בדרך של שיוך לנכסים או</t>
  </si>
  <si>
    <r>
      <t xml:space="preserve">התחייבויות ספציפיות, יוכר מוניטין. מוניטין </t>
    </r>
    <r>
      <rPr>
        <b/>
        <sz val="12"/>
        <color rgb="FFFF0000"/>
        <rFont val="David"/>
      </rPr>
      <t>איננו</t>
    </r>
    <r>
      <rPr>
        <sz val="12"/>
        <color rgb="FFFF0000"/>
        <rFont val="David"/>
      </rPr>
      <t xml:space="preserve"> בגדר נכס בלתי מוחשי המטופל לפי IAS 38. </t>
    </r>
  </si>
  <si>
    <t xml:space="preserve">כלומר, IAS 38 עוסק רק בנכסים בלתי מוחשיים ניתנים לזיהוי (לא במוניטין) ובמבחנים הקובעים קיומו של </t>
  </si>
  <si>
    <t xml:space="preserve">זיהוי זה. </t>
  </si>
  <si>
    <t>סעיף 49 ב - IAS 38 מרחיב כדלקמן (בשינויים קלים על מנת לפשט):</t>
  </si>
  <si>
    <t>במקרים מסוימים, יציאה מתהווה על מנת להפיק הטבות כלכליות עתידיות אך תוצאתה אינה יצירת</t>
  </si>
  <si>
    <t>נכס בלתי מוחשי המקיים את הקריטריונים להכרה בתקן זה.</t>
  </si>
  <si>
    <t>לעתים קרובות, יציאה כזו מתוארת כתורמת למוניטין אשר נוצר בישות.</t>
  </si>
  <si>
    <t>מוניטין אשר נוצר בישות אינו מוכר כנכס, כיוון שאינו מהווה משאב הניתן לזיהוי - קרי, אינו נובע</t>
  </si>
  <si>
    <t>מזכויות חוזיות או משפטיות אחרות ואינו ניתן להפרדה, והיכול לשלוט בהטבותיו ולאמוד אותן</t>
  </si>
  <si>
    <t>איננה מספקת.</t>
  </si>
  <si>
    <t>בהתאם לסעיף 12 ב- IAS 38, נכס ניתן לזיהוי אם הוא:</t>
  </si>
  <si>
    <t>א. ניתן להפרדה, כלומר ניתן להפריד אותו או לפצל אותו מהישות ולמכור אותו, להעביר אותו,</t>
  </si>
  <si>
    <t xml:space="preserve">להעניק רישיון לשימוש בו, להשכיר אותו או להחליפו, בנפרד או יחד עם חוזה קשור, נכס ניתן </t>
  </si>
  <si>
    <t xml:space="preserve">ב. נובע מזכויות חוזיות או מזכויות משפטיות אחרות, מבלי להתחשב אם זכויות אלה ניתנות </t>
  </si>
  <si>
    <t>להעברה או ניתנות להפרדה מהישות או מזכויות וממחויבויות אחרות.</t>
  </si>
  <si>
    <t>דוגמא ל-א:</t>
  </si>
  <si>
    <t>דוגמא ל-ב:</t>
  </si>
  <si>
    <t>תוכנה (זכות השימוש המשפטית היא של הרוכש)</t>
  </si>
  <si>
    <t>רישיון להפעלת דוכן ביריד</t>
  </si>
  <si>
    <t>הסכם EULA</t>
  </si>
  <si>
    <t>End User Licence Agreement</t>
  </si>
  <si>
    <t>המגדיר משפטית את זכויות רוכש התוכנה</t>
  </si>
  <si>
    <t>הסדר משפטי המאפשר לחברה לבצע שימוש בפטנט</t>
  </si>
  <si>
    <t xml:space="preserve">או זיכיון וכיו״ב. </t>
  </si>
  <si>
    <t>עקרון השליטה:</t>
  </si>
  <si>
    <t>בהתאם לסעיף 13 ב - IAS 38:</t>
  </si>
  <si>
    <t xml:space="preserve">ישות שולטת בנכס אם לישות הכוח להשיג את ההטבות הכלכליות העתידיות הזורמות ממשאב </t>
  </si>
  <si>
    <r>
      <t xml:space="preserve">הבסיס (underlying) </t>
    </r>
    <r>
      <rPr>
        <sz val="12"/>
        <color rgb="FFFF0000"/>
        <rFont val="David"/>
      </rPr>
      <t>ולהגביל את הגישה של אחרים</t>
    </r>
    <r>
      <rPr>
        <sz val="12"/>
        <color theme="1"/>
        <rFont val="David"/>
      </rPr>
      <t xml:space="preserve"> להטבות אלה. </t>
    </r>
  </si>
  <si>
    <t>היכולת של ישות לשלוט בהטבות הכלכליות העתידיות מנכס בלתי מוחשי נובעות באופן רגיל מזכויות</t>
  </si>
  <si>
    <t xml:space="preserve">משפטיות הניתנות לאכיפה בבית משפט. </t>
  </si>
  <si>
    <t>בהיעדר זכויות משפטיות, קשה יותר להוכיח שליטה.</t>
  </si>
  <si>
    <t xml:space="preserve">אולם, יכולת אכיפה משפטית אינה תנאי הכרחי לשליטה מכיוון שישות עשויה לשלוט בהטבות </t>
  </si>
  <si>
    <t>הכלכליות העתידיות בדרכים אחרות.</t>
  </si>
  <si>
    <t>בהתאם לסעיף 14 ב - IAS 38:</t>
  </si>
  <si>
    <t>הכרת שוק וידע טכני עשויים ליצור הטבות כלכליות עתידיות. ישות שולטת בהטבות אלה אם, לדוגמה,</t>
  </si>
  <si>
    <t>הידע מוגן על ידי זכויות משפטיות כגון זכויות יוצרים, הסכם להגבלת סחר (כאשר ההגבלה מותרת)</t>
  </si>
  <si>
    <t>או על ידי חובה משפטית של עובדים לשמירת סודיות.</t>
  </si>
  <si>
    <t>בהתאם לסעיף 15 ב - IAS 38:</t>
  </si>
  <si>
    <t>ייתכן שלישות יש צוות עובדים מיומן, והיא תוכל לזהות מיומנויות עובדים תוספתיות אשר יביאו</t>
  </si>
  <si>
    <t>להטבות כלכליות עתידיות בעקבות ההכשרה. הישות יכולה לצפות שהעובדים ימשיכו להעניק את</t>
  </si>
  <si>
    <t>המיומנויות שלהם לטובת הישות.</t>
  </si>
  <si>
    <t>אלא, שבדרך כלל, שליטת הישות על ההטבות הכלכליות העתידיות החזויות לנבוע מצוות עובדים מיומן</t>
  </si>
  <si>
    <t>מסיבה דומה, לא סביר שכשרון ניהולי מסויים או כשרון טכני מסויים יקיימו את ההגדרה של נכס</t>
  </si>
  <si>
    <t xml:space="preserve">בלתי מוחשי, אלא אם השימוש בהם והשגת ההטבות הכלכליות העתידיות החזויות מהם מוגנים על ידי </t>
  </si>
  <si>
    <t>זכויות משפטיות, והם מקיימים את החלקים האחרים של ההגדרה.</t>
  </si>
  <si>
    <t>בהתאם לסעיף 16 ב- IAS 38:</t>
  </si>
  <si>
    <t>לישות עשוי להיות תיק לקוחות או נתח שוק והיא עשויה לצפות כי בשל מאמציה בניית קשרי לקוחות</t>
  </si>
  <si>
    <t>בדרכים אחרות על קשרי הלקוחות או על נאמנותם... בדרך כלל השליטה לא מספקת על מנת שפריטים</t>
  </si>
  <si>
    <t>אלו (כגון תיקי לקוחות, נתחי שוק, קשרי לקוחות ונאמנות לקוחות) יקיימו את ההגדרה של נכסים</t>
  </si>
  <si>
    <t>בלתי מוחשיים...</t>
  </si>
  <si>
    <t xml:space="preserve">מבחן השליטה: מתקיים כאשר הישות המדווחת יכולה לקבוע באופן חד משמעי ״מה יעלה בגורל הנכס״ ומי רשאי / </t>
  </si>
  <si>
    <t>זכאי להשתמש בו. למשל, במקרה של עובדים ונתח שוק - לא מתקיים, משום שהישות לא יכולה לקבוע לאן יתפתחו /</t>
  </si>
  <si>
    <t>יעברו עובדיה, ומה תהיה הנאמנות אם בכלל של קהל הלקוחות.</t>
  </si>
  <si>
    <t>הכרה ומדידה</t>
  </si>
  <si>
    <t>בהתאם לסעיף 18 ב - IAS 38:</t>
  </si>
  <si>
    <t>ההכרה בפריט כנכס בלתי מוחשי דורשת מישות להוכיח שהפריט מקיים את:</t>
  </si>
  <si>
    <t>בהתאם לסעיף 21 ב - IAS 38:</t>
  </si>
  <si>
    <t>נכס בלתי מוחשי יוכר אם ורק אם:</t>
  </si>
  <si>
    <t>א. צפוי (probable) שההטבות הכלכליות העתידיות החזויות שניתן ליחסן לנכס יזרמו אל הישות. וכן:</t>
  </si>
  <si>
    <t>ב. העלות של הנכס ניתנת למדידה באופן מהימן.</t>
  </si>
  <si>
    <t>בהתאם לסעיפים 22 ו-23 ב - IAS 38:</t>
  </si>
  <si>
    <t>ישות תעריך את ההסתברות של הטבות כלכליות עתידיות חזויות תוך שימוש בהנחות סבירות וניתנות</t>
  </si>
  <si>
    <t>לביסוס המייצגות את האומדן הטוב ביותר של ההנהלה באשר למכלול התנאים הכלכליים שישררו</t>
  </si>
  <si>
    <t>במהלך אורך החיים השימושיים של הנכס.</t>
  </si>
  <si>
    <t>ישות מפעילה שיקול דעת על מנת להעריך את מידת הודאות המתייחסת לזרימה של הטבות כלכליות</t>
  </si>
  <si>
    <t>עתידיות, אשר ניתן לייחסן לשימוש בנכס על בסיס הראיות הניתנות להשגה במועד ההכרה לראשונה,</t>
  </si>
  <si>
    <t>תוך מתן משקל גדול יותר לראיות חיצוניות.</t>
  </si>
  <si>
    <t>המקרה הקל ביותר שבו מתקיימים הקריטריונים - ״רכישה נפרדת״</t>
  </si>
  <si>
    <t>לפי סעיף 25 ב - IAS 38:</t>
  </si>
  <si>
    <t>באופן רגיל, המחיר אותו משלמת ישות על מנת לרכוש בנפרד נכס בלתי מוחשי, משקף ציפיות לגבי</t>
  </si>
  <si>
    <t>ההסתברות שההטבות הכלכליות העתידיות החזויות שגלומות בנכס יזרמו אל הישות.</t>
  </si>
  <si>
    <t>במלים אחרות, הישות מצפה שיהיה תזרים של הטבות כלכליות גם אם ישנו חוסר ודאות לגבי</t>
  </si>
  <si>
    <t xml:space="preserve">העיתוי או הסכום של התזרים החיובי. </t>
  </si>
  <si>
    <t>לכן, קריטריון ההכרה המתייחס להסתברות בסעיף 21(א) נחשב תמיד כמתקיים לגבי נכסים בלתי</t>
  </si>
  <si>
    <t>מוחשיים שנרכשו בנפרד.</t>
  </si>
  <si>
    <t>לפי סעיף 26 ב - IAS 38:</t>
  </si>
  <si>
    <t xml:space="preserve">העלות של נכס בלתי מוחשי שנרכש בנפרד ניתנת, בדרך כלל, למדידה באופן מהימן. זאת בפרט כאשר </t>
  </si>
  <si>
    <t>תמורת הרכישה היא במזומנים או בנכסים כספיים אחרים.</t>
  </si>
  <si>
    <t>לפי סעיף 27 ב - IAS 38:</t>
  </si>
  <si>
    <t>העלות של נכס בלתי מוחשי, אשר נרכש בנפרד, כוללת את:</t>
  </si>
  <si>
    <t>א. מחיר רכישתו, כולל מסי יבוא ומסי רכישה שאינם מוחזרים, ובניכוי הנחות מסחריות.</t>
  </si>
  <si>
    <t>ב. עלות כלשהי שניתן לייחס במישרין להכנת הנכס לשימושו המיועד.</t>
  </si>
  <si>
    <t>לפי סעיפים 28 ו - 29 ב - IAS 38:</t>
  </si>
  <si>
    <t>דוגמאות לעלויות שניתן לייחס במישרין הן:</t>
  </si>
  <si>
    <t>ב. שכר יועצים מקצועיים הנובע במישרין מהבאת הנכס למצב בו הוא פועל.</t>
  </si>
  <si>
    <t>ג. עלויות בדיקת תקינות פעולת הנכס.</t>
  </si>
  <si>
    <t>א. עלויות השקת מוצר חדש או שירות חדש, כולל עלויות פעילויות פרסום וקידום מכירות.</t>
  </si>
  <si>
    <t>ב. עלויות ניהול עסק במיקום חדש או עם קבוצה חדשה של לקוחות כולל הכשרת צוות עובדים.</t>
  </si>
  <si>
    <t>ג. עלויות מנהלה ועלויות עקיפות כלליות אחרות.</t>
  </si>
  <si>
    <t>לפי סעיף 30 ב - IAS 38:</t>
  </si>
  <si>
    <t>הכרה בעלויות בערך בספרים של נכס בלתי מוחשי נפסקת, כאשר הנכס הוא במצב הדרוש על מנת</t>
  </si>
  <si>
    <t>שהוא יוכל לפעול באופן שאליו התכוונה ההנהלה.</t>
  </si>
  <si>
    <t>לכן, עלויות שהתהוו בעת שימוש או בעת פריסה מחדש של נכס בלתי מוחשי אינן נכללות בערך</t>
  </si>
  <si>
    <t>בספרים של נכס זה.</t>
  </si>
  <si>
    <t>לדוגמא, העלויות הבאות אינן נכללות בערך בספרים של נכס בלתי מוחשי:</t>
  </si>
  <si>
    <t>א. עלויות שהתהוו כאשר הנכס אשר יכול לפעול באופן שבו התכוונה ההנהלה, טרם הוכנס לשימוש.</t>
  </si>
  <si>
    <t>ב. הפסדים תפעוליים ראשוניים, כגון אלו שהתהוו כאשר נבנה הביקוש לתפוקת הנכס.</t>
  </si>
  <si>
    <t>לפי סעיף 31 ב - IAS 38:</t>
  </si>
  <si>
    <t>להבאת הנכס למצב הדרוש על מנת שיוכל לפעול באופן שאליו התכוונה ההנהלה.</t>
  </si>
  <si>
    <t>פעילויות נלוות אלה עשויות להתרחש לפני פעילויות הפיתוח או במהלכן.</t>
  </si>
  <si>
    <t>מכיוון שפעילויות נלוות אינן הכרחות על מנת להביא את הנכס למצב הדרוש על מנת שיוכל</t>
  </si>
  <si>
    <t>לפעול באופן שהתכוונה ההנהלה, ההכנסה וההוצאות הקשורות לפעילויות נלוות מוכרות מיידית</t>
  </si>
  <si>
    <t>ברווח או הפסד, ונכללות בסיווגים המתאימים של הכנסה והוצאה.</t>
  </si>
  <si>
    <t>לפי סעיף 32 ב - IAS 38:</t>
  </si>
  <si>
    <t>אם תשלום עבור נכס בלתי מוחשי נדחה מעבר לתנאי אשראי רגילים, כי אז עלות הנכס היא</t>
  </si>
  <si>
    <t>הסכום שווה הערך למחיר במזומן. ההפרש בין סכום זה לבין סך התשלומים מוכר כהוצאות</t>
  </si>
  <si>
    <t>ריבית במהלך תקופת האשראי, אלא אם הוא מהוון בהתאם לתקן חשבונאות בינלאומי מס׳ 23</t>
  </si>
  <si>
    <t>בדבר עלויות אשראי.</t>
  </si>
  <si>
    <t>מקרה מיוחד - נרכש תהליך מחקר ופיתוח שטרם הושלם, ומשלמים עליו עוד...</t>
  </si>
  <si>
    <t>לפי סעיפים 42 ו-43 ב - IAS 38:</t>
  </si>
  <si>
    <t>יציאה בגין מחקר ופיתוח אשר:</t>
  </si>
  <si>
    <t>א. קשורה לפרויקט מחקר או פיתוח בתהליך שנרכש בנפרד (או בצירוף עסקים) ואשר הוכר כנכס בלתי</t>
  </si>
  <si>
    <t>מוחשי, ואשר:</t>
  </si>
  <si>
    <t xml:space="preserve">ב. מתהווה לאחר הרכישה של פרויקט זה. </t>
  </si>
  <si>
    <t>תטופל כדלקמן:</t>
  </si>
  <si>
    <t>א. בשלב המחקר - תוכר כהוצאה בעת התהוות היציאה.</t>
  </si>
  <si>
    <t>ב. בשלב הפיתוח - תוכר כהוצאה אם לא מקיימת מבחנים שמפורטים בסעיף 57 לתקן (מדוע).</t>
  </si>
  <si>
    <t>ג. בשלב הפיתוח - תוכר כנכס אם מקיימת מבחנים שמפורטים בסעיף 57 לתקן.</t>
  </si>
  <si>
    <t>ביצי בע״מ - מאזן 31.12</t>
  </si>
  <si>
    <r>
      <t xml:space="preserve">לזיהוי קשור או התחייבות קשורה ללא קשר אם הישות מתכוונת לעשות כן; </t>
    </r>
    <r>
      <rPr>
        <b/>
        <u/>
        <sz val="20"/>
        <color theme="1"/>
        <rFont val="David"/>
      </rPr>
      <t>או</t>
    </r>
  </si>
  <si>
    <t>אם יש חוזה, או לחילופין אם ניתן למכור / להעביר / להשכיר - עיקרון הזיהוי מתקיים.</t>
  </si>
  <si>
    <t>מהו מחקר?</t>
  </si>
  <si>
    <t>ככלל, זהו שלב בסיסי וראשוני שמבצעת חברה, שתכליתו השגת ידע ראשוני. בשלב זה עדיין לא מבוצעת פעילות</t>
  </si>
  <si>
    <t>מעשית כלשהי לפיתוח מוצר / בדרך אליו. למשל: חברת תרופות גייסה צוות של 20 מדענים במטרה למצוא תרופה</t>
  </si>
  <si>
    <t>למחלה חדשה. בשלב המחקר, שילמה החברה משכורות לצוות, ומדי חודש, הצוות חזר עם ממצאים ראשוניים</t>
  </si>
  <si>
    <t>לגבי החולים.</t>
  </si>
  <si>
    <t>הואיל ובשלב המחקר הראשוני מידת הודאות להצלחת הפרויקט וקבלת הטבות כלכליות היא מאד נמוכה, התקן</t>
  </si>
  <si>
    <t>שאלה להמחשה</t>
  </si>
  <si>
    <t xml:space="preserve">חברת תמר בע״מ החלה בביצוע פרויקט לפיתוח חללית שמונעת בנקניקיות רקובות. </t>
  </si>
  <si>
    <t>בשנת 2018, שילמה החברה בעד עלויות מחקר בגין הפרויקט סכום של 40 מיליון ש״ח.</t>
  </si>
  <si>
    <t>בשנת 2019, שילמה החברה בעד עלויות מחקר בגין הפרויקט סכום של 100 מיליון ש״ח. מדעני החברה סבורים</t>
  </si>
  <si>
    <t>שהושגה פריצת דרך במחקר, שמגדילה באופן משמעותי את ההסתברות להשלימו.</t>
  </si>
  <si>
    <t>בשנת 2020, שילמה החברה בעד עלויות פיתוח בגין הפרויקט סכום של 50 מיליון ש״ח. נכון לתום השנה,</t>
  </si>
  <si>
    <t xml:space="preserve">החברה עדיין מטילה בספק את השלמת הפרויקט. </t>
  </si>
  <si>
    <t>בשנת 2021, שילמה החברה בעד עלויות פיתוח בגין הפרויקט סכום של 200 מיליון ש״ח. הפרויקט הושלם בהצלחה</t>
  </si>
  <si>
    <t>וצפויות הכנסות גבוהות מאד ממכירת חלליות מונעות נקניק לכלל האוכלוסיה.</t>
  </si>
  <si>
    <t xml:space="preserve">נדרש: האם ניתן להכיר בנכס מחקר ופיתוח בדוח על המצב הכספי כנב״מ? </t>
  </si>
  <si>
    <t xml:space="preserve">אם כן, הסבירו - באיזו שנה, ובאיזה סכום. </t>
  </si>
  <si>
    <t>ביתר השנים תוכר הוצאה בלבד בגובה היציאה התזרימית, זאת לאור העובדה שבשנים 2018 ו-2019</t>
  </si>
  <si>
    <t>אנו מצויים בשלב המחקר, ובשנת 2020 - אמנם נמצאים בשלב הפיתוח, אך עדיין לא ניתן לטעון שקיים</t>
  </si>
  <si>
    <t>צפי הטבות כלכליות מספק.</t>
  </si>
  <si>
    <t>בשנת 2021 בלבד יוכר נכס נב״מ בסכום של 200 מיליון.</t>
  </si>
  <si>
    <t>החיוניים להגדרה, ולאחר מכן עברנו להצגת עיקרון ההכרה מבוסס ההטבות. המשכנו בתחילת דיון בנכסים</t>
  </si>
  <si>
    <t>בלתי מוחשיים מסוג מחקר ופיתוח והקשר בין השלב הרלוונטי בביצוע ליכולת ההכרה.</t>
  </si>
  <si>
    <t>המטרה במפגש הנוכחי:</t>
  </si>
  <si>
    <t>כמובן, אין זה פשוט ללמוד תיאוריה ללא תרגול - והתרגול אכן יגיע. אך לאור העובדה שהדיון בנכסים בלתי</t>
  </si>
  <si>
    <t>מוחשיים נושא קושי שברובו הנו תיאורטי ולא כמותי, וסוגיות רבות ומגוונות הקשורות לחידוד המבחנים</t>
  </si>
  <si>
    <t>השונים בתקן, אין מנוס מדיון בהן. יחד עם זאת, בשלב הזה שבו ההבנה הבסיסית כבר עומדת לרשותנו,</t>
  </si>
  <si>
    <t>נשלב גם תרגול תיאורטי קצר תוך כדי תנועה, כדי להקל על ההטמעה.</t>
  </si>
  <si>
    <t>שאלה 1 - רקע</t>
  </si>
  <si>
    <t>לפניכם מספר טענות:</t>
  </si>
  <si>
    <t>טענה 1: פיקדון לזמן ארוך בבנק הוא בגדר נכס בלתי מוחשי. הרי לא יעלה על הדעת שנתייחס לתיעוד שלו</t>
  </si>
  <si>
    <t>במסגרת ה - statement (הדוח הבנקאי) בתור נכס שיש לו קיום פיזי.</t>
  </si>
  <si>
    <t>טענה 2: הטיפול במוניטין נדון במסגרת התקן IAS 38, שהרי אין עוררין על כך שמוניטין הוא נכס בלתי מוחשי.</t>
  </si>
  <si>
    <t>טענה 3: עלויות של פרויקט מחקר בחברה תמיד מוכרות כהוצאה. לעומת זאת, עלויות הנוצרות בשלב הפיתוח</t>
  </si>
  <si>
    <t>תוכרנה כנכס.</t>
  </si>
  <si>
    <t>דונו בכל אחת מהטענות בנפרד - האם היא נכונה / שגויה, ומדוע.</t>
  </si>
  <si>
    <t>פתרון שאלה 1</t>
  </si>
  <si>
    <t>טענה 2: שגויה. מוניטין אכן מהווה נכס ״בלתי מוחשי״ אבל הוא מטופל במסגרת התקנים העוסקים בצירופי עסקים.</t>
  </si>
  <si>
    <t>טענה 3: שגויה.</t>
  </si>
  <si>
    <t>החלק הראשון של הטענה נכון. הוצאות מחקר = הוצאה.</t>
  </si>
  <si>
    <t xml:space="preserve">החלק השני של הטענה שגוי. לא ניתן לאשר טענה גורפת הטוענת ״עלויות בשלב הפיתוח הן נכס״ משום שעצם </t>
  </si>
  <si>
    <t>ההמצאות בשלב הפיתוח היא תנאי הכרחי - אך לא תנאי מספיק - להיוון העלויות לנכס. בנוסף לעצם ההמצאות</t>
  </si>
  <si>
    <t>לא נוכל לאשר את הטענה בגורף.</t>
  </si>
  <si>
    <t>מקרה מיוחד נוסף - החלפות נכסים</t>
  </si>
  <si>
    <t>כאשר נרכש נכס בלתי מוחשי - סביר להניח שניתן להכיר בו, בהתאם לנלמד במפגש קודם (נכס בלתי מוחשי שמקורו</t>
  </si>
  <si>
    <t>ברכישה נפרדת). זאת משום שמתקיימים מבחני הזיהוי והשליטה (קיים חוזה, וניתן לשלוט בהטבות). זאת, בהינתן</t>
  </si>
  <si>
    <t>שהרכישה ״רגילה״ - קרי במזומן.</t>
  </si>
  <si>
    <t>מה דינה של רכישה בדרך של ״החלפת נכסים״ בלתי מוחשיים? לעידו נחום יש רישיון למונית, לרז חן יש רישיון לדיג,</t>
  </si>
  <si>
    <t>אבל רז חן הפך לטבעוני שמחבק פרחים, ועידו נחום חושש מפליטת גזי חממה. במצב כזה, הם יכולים להחליף את</t>
  </si>
  <si>
    <t>הנכסים ביניהם, נשאלת השאלה כיצד לטפל בכך עקרונית ומספרית:</t>
  </si>
  <si>
    <r>
      <t xml:space="preserve">לפי </t>
    </r>
    <r>
      <rPr>
        <b/>
        <sz val="12"/>
        <color theme="1"/>
        <rFont val="David"/>
      </rPr>
      <t>סעיף 45 ב - IAS 38</t>
    </r>
    <r>
      <rPr>
        <sz val="12"/>
        <color theme="1"/>
        <rFont val="David"/>
      </rPr>
      <t xml:space="preserve"> (בשינויים קלים להקלה על ההבנה):</t>
    </r>
  </si>
  <si>
    <t>נכס בלתי מוחשי אחד או יותר עשויים להירכש תמורת נכס או נכסים לא כספיים, או תמורת שילוב</t>
  </si>
  <si>
    <t xml:space="preserve">הנכס הנרכש נמדד באופן זה גם אם ישות אינה יכולה לגרוע מיידית את הנכס שנמסר. </t>
  </si>
  <si>
    <t xml:space="preserve">אם הנכס הנרכש לא נמדד בשווי הוגן, עלותו נמדדת בהתאם לערך בספרים של הנכס שנמסר. </t>
  </si>
  <si>
    <t>מה משמעה של מהות מסחרית?</t>
  </si>
  <si>
    <t>בהכללה גסה - כאשר מבצעים עסקת החלפה לנכסים בעלי מהות שונה, אזי לעסקת ההחלפה יש מהות מסחרית.</t>
  </si>
  <si>
    <t>באופן פורמלי יותר, מגדיר התקן כעסקת החלפה בעלת מהות מסחרית ככזו שבמסגרתה תזרימי המזומנים</t>
  </si>
  <si>
    <t>שצפויים לנבוע מהנכסים המוחלפים במסגרת העסקה נבדלים זה מזה ב:</t>
  </si>
  <si>
    <t>א. סכום</t>
  </si>
  <si>
    <t>ב. תדירות / עיתוי</t>
  </si>
  <si>
    <t>ג. סיכון</t>
  </si>
  <si>
    <t>שאלה 2 - מהות מסחרית והיעדרה</t>
  </si>
  <si>
    <t>חברה רכשה ב-1.1.2021 זיכיון להפעלת בית קפה לתקופה של 5 שנים. עלות הזיכיון הסתכמה ב-100,000 ש״ח.</t>
  </si>
  <si>
    <t>בתאריך 1.1.2023 החליפה החברה זיכיון זה בתמורה לקבלת זיכיון לחימום נקניקיות. לאותו יום השווי ההוגן של הזיכיון</t>
  </si>
  <si>
    <t>לחימום נקניקיות נאמד ב-70,000 ש״ח ואורך חייו 8 שנים. יש להניח יישום מודל העלות למדידת נכסים בלתי מוחשיים.</t>
  </si>
  <si>
    <t>נדרש:</t>
  </si>
  <si>
    <t>א. האם לעסקת ההחלפה קיימת מהות מסחרית? נמקו.</t>
  </si>
  <si>
    <t>פתרון שאלה 2</t>
  </si>
  <si>
    <t>פתרון סעיף א:</t>
  </si>
  <si>
    <t>כמובן שלעסקת ההחלפה קיימת מהות מסחרית. מדוע? משום שהנכסים שונים זה מזה, כאשר השוני הוא לא רק</t>
  </si>
  <si>
    <t xml:space="preserve">בהגדרה הטכנית - אלא משתקף בכך שסביר מאד להניח שתזרימי המזומנים, גובהם, עיתויים והסיכון הגלום בהם - </t>
  </si>
  <si>
    <t>בהקשר לפעילות חימום נקניק שונים מאלו המלווים פעילות בית קפה.</t>
  </si>
  <si>
    <t>פתרון סעיף ב:</t>
  </si>
  <si>
    <t>הפחתה נצברת</t>
  </si>
  <si>
    <t xml:space="preserve">100,000 / 5 * 2 = </t>
  </si>
  <si>
    <t>הואיל ומדובר בעסקת החלפה בעלת מהות מסחרית, שמשמעותה היא מדידה במועד ההכרה בנכס המתקבל</t>
  </si>
  <si>
    <t>לפי שוויו ההוגן - הרי שהתמורה היא נכס בלתי מוחשי - רישיון לחימום נקניק - ששוויו 70,000 ש״ח.</t>
  </si>
  <si>
    <t>רווח הון - בעסקת ההחלפה:</t>
  </si>
  <si>
    <t>בתמצית - ההשפעות הנובעות ספציפית מעסקת ההחלפה:</t>
  </si>
  <si>
    <t>במקום נב״מ (זיכיון בית קפה) בסך 60,000 [שייגרע]</t>
  </si>
  <si>
    <t>נציג נב״מ (רישיון לחימום נקניק) בסך 70,000 [שיוכר]</t>
  </si>
  <si>
    <t>וכן יוצג רווח הון בסך 10,000 ש״ח.</t>
  </si>
  <si>
    <t>שאלה 2.1</t>
  </si>
  <si>
    <t>חזרו על נדרש ב בשאלה 2, אם ידוע (כן, ברור שזה לא הגיוני אבל נניח שזה נתון מפורש) שלעסקת ההחלפה אין</t>
  </si>
  <si>
    <t>מהות מסחרית.</t>
  </si>
  <si>
    <t>פתרון שאלה 2.1</t>
  </si>
  <si>
    <t>לפיכך, במצב כזה - אך הגיוני לטעון שלא יכול להיווצר רווח / הפסד במועד ההחלפה.</t>
  </si>
  <si>
    <t>נציג נב״מ (רישיון לחימום נקניק) בסך 60,000 [שיוכר]</t>
  </si>
  <si>
    <t>ולא יוכר רווח / הפסד הון.</t>
  </si>
  <si>
    <t>פקודת יומן למיון מחדש בעקבות ההחלפה תהיה:</t>
  </si>
  <si>
    <t>ח׳ נב״מ - רישיון לחימום נקניק</t>
  </si>
  <si>
    <t>ז׳ נב״מ - זיכיון לבית קפה (עלות)</t>
  </si>
  <si>
    <t>ח׳ הפחתה נצברת נב״מ - זיכיון לבית קפה</t>
  </si>
  <si>
    <t>בשונה מרכישה, נעבור כעת לנכסים בלתי מוחשיים אשר נוצרו בישות פנימית</t>
  </si>
  <si>
    <t>עד כה - ראינו שהדיון בנכסים בלתי מוחשיים נשען בעיקר על רכישתם, בין אם רכישה במזומן, בין אם רכישה בדרך</t>
  </si>
  <si>
    <t>של החלפת נכסים עם או ללא מהות מסחרית.</t>
  </si>
  <si>
    <t>נשאלת השאלה, מה לגבי נכס שמלכתחילה נוצר ״מאפס״ בישות המדווחת - ובפרט - נכסי מחקר ופיתוח?</t>
  </si>
  <si>
    <t>אמנם המפגש הקודם עסק מעט במחקר ופיתוח, אבל יותר ברכישתו ולפחות בביצועו הראשוני מאפס כאמור.</t>
  </si>
  <si>
    <t>לפי סעיף 51 ב - IAS 38:</t>
  </si>
  <si>
    <t>לעתים קשה להעריך אם נכס בלתי מוחשי, אשר נוצר בישות, כשיר להכרה בגלל קשיים:</t>
  </si>
  <si>
    <t>א. בזיהוי אם ומתי קיים נכס, ניתן לזיהוי, שיניב הטבות כלכליות עתידיות חזויות.</t>
  </si>
  <si>
    <t>ב. בקביעת העלות של הנכס באופן מהימן (ייחוס העלויות - ש.צ.).</t>
  </si>
  <si>
    <t>לפי סעיף 52 ב - IAS 38:</t>
  </si>
  <si>
    <t>על מנת להעריך אם נכס בלתי מוחשי, אשר נוצר בישות, מקיים את הקריטריונים להכרה,</t>
  </si>
  <si>
    <t>ישות מסווגת את היצירה של הנכס:</t>
  </si>
  <si>
    <t>א. לשלב מחקר.</t>
  </si>
  <si>
    <t>ב. לשלב פיתוח.</t>
  </si>
  <si>
    <t>חשוב להתייחס למונחים מחקר ופיתוח באופן רחב:</t>
  </si>
  <si>
    <t>ככלל, שלב המחקר הוא השלב שלכל אורכו ישימות (היכולת ליישם) את הפרויקט / המיזם מוטלת בספק.</t>
  </si>
  <si>
    <t>למעשה, זהו שלב שבאופן כללי יותר מוכוון לאיסוף נתונים ומידע מאשר לידע פרקטי שמשמש בייצור.</t>
  </si>
  <si>
    <t xml:space="preserve">לעומת זאת, שלב הפיתוח - הוא השלב שבו עוברים מאיסוף הידע פר-סה לפעילות מעשית לקראת </t>
  </si>
  <si>
    <t xml:space="preserve">היעדים הכלכליים והמסחריים. </t>
  </si>
  <si>
    <t>הדגמה:</t>
  </si>
  <si>
    <t>חברה שוקלת לפתח מכונית אוטונומית. בתור התחלה, צוות החוקרים אוסף מידע ונתונים ומקבל</t>
  </si>
  <si>
    <t>תשתית לגבי אלגוריתמים וחומרה הקשורה לבינה מלאכותית ותקשורת נתונים = לגמרי שלב המחקר.</t>
  </si>
  <si>
    <t>לאחר מכן, המדענים מתחילים בקידוד ובנייה של ממשק החומרה-תוכנה לקראת יצירת אב-הטיפוס</t>
  </si>
  <si>
    <t>הראשוני = שלב פיתוח (ראשוני).</t>
  </si>
  <si>
    <t>הטיפול בנכס בלתי מוחשי שנוצר פנימית בשלב המחקר</t>
  </si>
  <si>
    <t>לפי סעיף 54 ב- IAS 38:</t>
  </si>
  <si>
    <t xml:space="preserve">נכס בלתי מוחשי הנובע ממחקר (או משלב המחקר של פרויקט פנימי) לא יוכר. </t>
  </si>
  <si>
    <t>יציאה בגין מחקר (או בגין שלב המחקר של פרויקט פנימי) תוכר כהוצאה בעת התהוותה.</t>
  </si>
  <si>
    <t xml:space="preserve">עצרו לרגע וחשבו, מדוע. </t>
  </si>
  <si>
    <t>התשובה: כאשר מדובר במחקר, השלב כל כך ראשוני, שלא ניתן להצביע באופן חד משמעי על ״מה יוצרים״</t>
  </si>
  <si>
    <t xml:space="preserve">קרי מבחן הזיהוי מוטל בספק גדול, היכולת שלנו להניב הטבות ולהגן עליהן (לשלוט בהן) מוגבל מאד </t>
  </si>
  <si>
    <t xml:space="preserve">גם הוא. משכך, גם לפי מבחני הזיהוי והשליטה, וכמובן לפי מבחן ההטבות הכלכליות הצפויות, </t>
  </si>
  <si>
    <t>לא נוכל להכיר בנב״מ בגין מחקר.</t>
  </si>
  <si>
    <t>לפי סעיף 56 ב - IAS 38:</t>
  </si>
  <si>
    <t>דוגמאות לפעילויות מחקר הן:</t>
  </si>
  <si>
    <t>א. פעילויות המכוונות להשגת ידע חדש.</t>
  </si>
  <si>
    <t>ב. החיפוש אחר יישומים של ממצאי מחקר או ידע אחר, הערכתם ובחירתם הסופית.</t>
  </si>
  <si>
    <t>ג. החיפוש אחר חלופות לחומרים, למתקנים, למוצרים, לתהליכים, למערכות או לשירותים.</t>
  </si>
  <si>
    <t>ד. הגיבוש, העיצוב, ההערכה והבחירה הסופית של חלופות אפשריות לחומרים, למתקנים, למוצרים</t>
  </si>
  <si>
    <t>לתהליכים, למערכות או לשירותים חדשים או משופרים.</t>
  </si>
  <si>
    <t>לפי סעיף 57 ב - IAS 38:</t>
  </si>
  <si>
    <t>נכס בלתי מוחשי הנובע מפיתוח (או משלב הפיתוח של פרויקט פנימי) יוכר אם ורק אם ישות</t>
  </si>
  <si>
    <t>יכולה להוכיח את כל האמור להלן:</t>
  </si>
  <si>
    <t>א. התכנות טכנית (technical feasibility) של השלמת הנכס הבלתי מוחשי כך שהוא יהיה זמין</t>
  </si>
  <si>
    <t>לשימוש או למכירה.</t>
  </si>
  <si>
    <t>ב. בכוונתה להשלים את הנכס הבלתי מוחשי ולהשתמש בו או למכרו.</t>
  </si>
  <si>
    <t>ג. ביכולתה להשתמש בנכס הבלתי מוחשי או למכרו.</t>
  </si>
  <si>
    <t xml:space="preserve">יכולה להוכיח קיומו של שוק לתוצר של הנכס הבלתי מוחשי או לנכס הבלתי מוחשי עצמו, </t>
  </si>
  <si>
    <t>או - אם ייעשה בו שימוש פנימי - לתועלת הנובעת מהנכס הבלתי מוחשי.</t>
  </si>
  <si>
    <t>בנכס הבלתי מוחשי או למכירתו.</t>
  </si>
  <si>
    <t>ו. יכולתה למדוד באופן מהימן את היציאה שניתן לייחס לנכס הבלתי מוחשי במהלך פיתוחו.</t>
  </si>
  <si>
    <t>לפי סעיף 58 ב- IAS 38:</t>
  </si>
  <si>
    <t>במקרים מסויימים, ישות יכולה, בשלב הפיתוח של פרויקט פנימי, לזהות נכס בלתי מוחשי</t>
  </si>
  <si>
    <t>ולהוכיח שהנכס יפיק הטבות כלכליות עתידיות צפויות. זאת, משום ששלב הפיתוח של פרויקט</t>
  </si>
  <si>
    <t>הוא שלב מתקדם יותר משלב המחקר.</t>
  </si>
  <si>
    <t>לפי סעיף 59 ב - IAS 38:</t>
  </si>
  <si>
    <t>דוגמאות לפעילויות פיתוח הן:</t>
  </si>
  <si>
    <t>א. העיצוב, ההקמה והבדיקה של אבות-טיפוס ודגמים קדם-ייצור או קדם-שימוש.</t>
  </si>
  <si>
    <t>ב. העיצוב של כלים, מקבעים, תבניות ומטבעות המעורבים בטכנולוגיה חדשה.</t>
  </si>
  <si>
    <t>ג. העיצוב, ההקמה והתפעול של ציוד נסיוני שאינו ישים מבחינה כלכלית לייצור מסחרי.</t>
  </si>
  <si>
    <t>ד. העיצוב, ההקמה והבדיקה של חלופה נבחרת של חומרים, מתקנים, מוצרים, תהליכים,</t>
  </si>
  <si>
    <t>מערכות או שירותים, חדשים או משופרים.</t>
  </si>
  <si>
    <t>לפי סעיף 61 ב- IAS 38:</t>
  </si>
  <si>
    <t>זמינות של משאבים להשלמה, לשימוש ולהשגה של ההטבות מנכס בלתי מוחשי ניתנת</t>
  </si>
  <si>
    <t>להוכחה, לדוגמא, על ידי תכנית עסקית המציגה את המשאבים הטכניים, הפיננסיים</t>
  </si>
  <si>
    <t>והאחרים הנדרשים, ואת יכולת הישות להשיג משאבים אלה. במקרים מסוימים,</t>
  </si>
  <si>
    <t>ישות מוכיחה את הזמינות של מימון חיצוני, על ידי השגת אינדיקציה ממלווה בדבר</t>
  </si>
  <si>
    <t>רצונו לממן את התכנית.</t>
  </si>
  <si>
    <t>לפי סעיף 63 ב - IAS 38:</t>
  </si>
  <si>
    <t>מותגים... זכויות הוצאה לאור, רשימת לקוחות ופריטים דומים במהותם, אשר נוצרו</t>
  </si>
  <si>
    <t>בישות, לא יוכרו כנכסים בלתי מוחשיים.</t>
  </si>
  <si>
    <t>שאלה 3 - נכס מחקר ופיתוח</t>
  </si>
  <si>
    <t>חברת ״נקניקיות בטוסטר״ בע״מ החלה לשקוד על פיתוח מכונה חדשנית לחימום נקניק לעובדי משרדים</t>
  </si>
  <si>
    <t>עד מאוחר (בסגנון סודוך למי שמכיר, רק הרבה יותר מהיר וחדשני). תחילה, שלחה החברה בשנת 2017 את</t>
  </si>
  <si>
    <t>חוקריה הבכירים ביותר להשתלמויות במכוני הנקניק הגדולים בעולם, בעלות של 500,000 ש״ח, על מנת</t>
  </si>
  <si>
    <t xml:space="preserve">שיצברו ידע ומיומנות טכנית בסיסית בכימיה של נקניק וביולוגיית העיכול הקלוקלת שלו. </t>
  </si>
  <si>
    <t>לאחר מכן, בשנת 2018, התיישבו החוקרים הבכירים לכתוב ולסדר את הממצאים. בשנה זו עלות שכרם</t>
  </si>
  <si>
    <t>הסתכמה ב-300,000 ש״ח.</t>
  </si>
  <si>
    <t>בערך ככה:</t>
  </si>
  <si>
    <t>עלויות פיתוח אב-הטיפוס ב-2019 הסתכמו ב-450,000 ש״ח אך עד לתום שנה זו, עדיין אין צפי ברור להתכנות</t>
  </si>
  <si>
    <t>כלכלית והנדסית של המיזם המורכב, ובניית אב-הטיפוס טרם הושלמה.</t>
  </si>
  <si>
    <t>בשנת 2020, חלה פריצת דרך משמעותית, והושלם אב-הטיפוס. בשנה זו הושקעו עלויות של 600,000 ש״ח.</t>
  </si>
  <si>
    <t>בשנת 2021, הושקעו עלויות בסך 1,000,000 ש״ח והחברה צופה הטבות כלכליות גבוהות העולות משמעותית</t>
  </si>
  <si>
    <t>על כלל העלויות שהושקעו בפריט עד כה - בסך 5,000,000 ש״ח נטו, נכון למועד עריכת הדיווח ל-31.12.2021.</t>
  </si>
  <si>
    <t>מהו הסכום שבו יוצג הנכס בכל אחת מהשנים הנדונות בשאלה, אם בכלל?</t>
  </si>
  <si>
    <t>פתרון שאלה 3 - נכס מחקר ופיתוח</t>
  </si>
  <si>
    <t>שנה</t>
  </si>
  <si>
    <t>סך עלות</t>
  </si>
  <si>
    <t>הכרה כהוצאה</t>
  </si>
  <si>
    <t>הכרה כנכס</t>
  </si>
  <si>
    <t>הנמקה</t>
  </si>
  <si>
    <t>שלב מחקר</t>
  </si>
  <si>
    <t>שלב פיתוח - No feasibility - אין התכנות</t>
  </si>
  <si>
    <t>שלב פיתוח מתקדם - עדיין ללא צפי השלמה והטבות</t>
  </si>
  <si>
    <t>שלב פיתוח מתקדם - כולל הטבות צפויות</t>
  </si>
  <si>
    <t>במועד ההכרה בנכס בלתי מוחשי - המדידה הראשונית היא תמיד לפי העלות.</t>
  </si>
  <si>
    <t>נראה במפגש הבא, שאכן, בתקופות עוקבות למועד ההכרה לראשונה ניתן למדוד גם לפי עלות בניכוי</t>
  </si>
  <si>
    <t>הפחתה נצברת, וגם לפי הערכה מחדש.</t>
  </si>
  <si>
    <t>אבל המדידה הראשונית בכל מקרה מוגבלת לעלות, ומשכך, נכיר בנכס ב-1,000,000 ולא ב-5,000,000.</t>
  </si>
  <si>
    <t>עלות של נכס בלי מוחשי שנוצר בישות</t>
  </si>
  <si>
    <t>לפי סעיף 65 ל - IAS 38:</t>
  </si>
  <si>
    <t>הבלתי מוחשי מקיים לראשונה את הקריטריונים להכרה... סעיף 71 אוסר על החזרה (reinstatement)</t>
  </si>
  <si>
    <t>של יציאה שהוכרה קודם לכן כהוצאה.</t>
  </si>
  <si>
    <t>לפי סעיף 66 ל - IAS 38:</t>
  </si>
  <si>
    <t>העלות של נכס בלתי מוחשי אשר נוצר בישות כוללת את כל העלויות הניתנות לייחוס במישרין, אשר</t>
  </si>
  <si>
    <t>הכרחיות... לייצר ולהכין את הנכס על מנת שיוכל לפעול באופן שהתכוונה ההנהלה.</t>
  </si>
  <si>
    <t>דוגמאות:</t>
  </si>
  <si>
    <t>א. עלויות של חומרים ושירותים המשמשים או הנצרכים ביצירת הנכס הבלתי מוחשי.</t>
  </si>
  <si>
    <t>ב. עלויות של הטבות עובד כהגדרתן בתקן חשבונאות בינלאומי 19 הנובעות מיצירת הנכס...</t>
  </si>
  <si>
    <t>ג. תשלומים לרישום זכות משפטית</t>
  </si>
  <si>
    <t>ד. הפחתת פטנטים ורשיונות המשמשים ליצירת הנכס הבלתי מוחשי</t>
  </si>
  <si>
    <t>לפי סעיף 67 ל - IAS 38:</t>
  </si>
  <si>
    <t>א. יציאה בגין מכירה, הנהלה ועלויות עקיפות כלליות אחרות, אלא אם ניתן לייחס יציאה זו במישרין</t>
  </si>
  <si>
    <t>להכנת הנכס לשימוש.</t>
  </si>
  <si>
    <t xml:space="preserve">ב. חוסר יעילות מזוהה והפסדים תפעוליים ראשונים המתהווים לפני שהנכס מגיע לרמת הביצוע </t>
  </si>
  <si>
    <t>המתוכננת.</t>
  </si>
  <si>
    <t>ג. יציאה בגין הכשרת עובדים לתפעול הנכס.</t>
  </si>
  <si>
    <t>שאלה 4 - דוגמא מהתקן עצמו - IAS 38 - לעניין העלות של נכס בלתי מוחשי</t>
  </si>
  <si>
    <t xml:space="preserve">ישות מפתחת תהליך ייצור חדש. </t>
  </si>
  <si>
    <t>במהלך 2015, מתהווה יציאה בסך 1,000 ש״ח, מתוכם 900 ש״ח התהוו לפני 1 בדצמבר 2015 ו-100 ש״ח התהוו</t>
  </si>
  <si>
    <t>הישות יכולה להוכיח שביום 1.12.2015 תהליך הייצור קיים את הקריטריונים להכרה כנכס בלתי מוחשי.</t>
  </si>
  <si>
    <t>הסכום בר ההשבה של הידע הגלום בתהליך כולל תשלומי מזומנים עתידיים להשלמת התהליך לפני שהנכס זמין</t>
  </si>
  <si>
    <t>לשימוש נאמד בסך של 500 ש״ח.</t>
  </si>
  <si>
    <t>במהלך שנת 2016 התהוותה יציאה בסך 2,000 ש״ח. בתום שנת 2016, הסכום בר ההשבה של הידע הגלום בתהליך</t>
  </si>
  <si>
    <t>כולל תשלומי מזומנים עתידיים להשלמת התהליך לפני שהנכס זמין לשימוש, נאמד בסך של 1,900 ש״ח.</t>
  </si>
  <si>
    <t>מהו הסכום שיוכר כנכס ומהו הסכום שיוכר כהוצאה בכל אחת מהשנים? נמקו.</t>
  </si>
  <si>
    <t>פתרון שאלה 4 - דוגמא מהתקן עצמו - IAS 38 - לעניין העלות של נכס בלתי מוחשי</t>
  </si>
  <si>
    <t>מדידה של נכס בלתי מוחשי לאחר מועד ההכרה לראשונה</t>
  </si>
  <si>
    <t>לפי סעיף 72:</t>
  </si>
  <si>
    <t xml:space="preserve">מטופל תוך שימוש במודל הערכה מחדש, גם כל הנכסים האחרים באותה קבוצה יטופלו תוך </t>
  </si>
  <si>
    <t>שימוש באותו מודל, אלא אם אין שוק פעיל לנכסים אלה.</t>
  </si>
  <si>
    <t>שאלה 5 - עירוב מדידה</t>
  </si>
  <si>
    <t>בהתאם לסעיף 72 ב- IAS 38, יש לשמור על עקביות במדידת נכסים בלתי מוחשיים ב״אותה קבוצה״ אלא אם</t>
  </si>
  <si>
    <t xml:space="preserve">אין שוק פעיל לנכסים אלו. </t>
  </si>
  <si>
    <t>נדרש: למה הכוונה ב״אותה הקבוצה״? מדוע העקביות חשובה בהקשר זה, ומה פשרו של קיום / אי קיום שוק</t>
  </si>
  <si>
    <t>פעיל לצורך הנ״ל?</t>
  </si>
  <si>
    <t>פתרו שאלה 5 - עירוב מדידה</t>
  </si>
  <si>
    <t>מדידה לאחר ההכרה - מודל העלות והערכה מחדש:</t>
  </si>
  <si>
    <t xml:space="preserve">לאחר ההכרה לראשונה, נכס בלתי מוחשי יוצג בעלותו בניכוי הפחתה שנצברה ובניכוי הפסדים </t>
  </si>
  <si>
    <t>מירידת ערך שנצברו.</t>
  </si>
  <si>
    <t>סעיף 75 - הערכה מחדש:</t>
  </si>
  <si>
    <t>לאחר ההכרה לראשונה, נכס בלתי מוחשי יוצג בסכום משוערך שהוא שוויו ההוגן במועד ההערכה</t>
  </si>
  <si>
    <t xml:space="preserve">מחדש בניכוי הפחתה שנצברה לאחר מכן ובניכוי הפסדים מירידת ערך שנצברו לאחר מכן. </t>
  </si>
  <si>
    <t>לצורך הערכות מחדש בהתאם לתקן זה, שווי הוגן יימדד בהתייחס לשוק פעיל.</t>
  </si>
  <si>
    <t>הערכות מחדש יבוצעו באופן סדיר מספיק, על מנת לוודא שהערך בספרים של הנכס אינו שונה</t>
  </si>
  <si>
    <t xml:space="preserve">באופן מהותי מהערך שהיה נקבע לפי שווי הוגן בסוף תקופת הדיווח. </t>
  </si>
  <si>
    <t>סעיף 76:</t>
  </si>
  <si>
    <t>מודל הערכה מחדש איננו מאפשר:</t>
  </si>
  <si>
    <t>א. הערכה מחדש של נכסים בלתי מוחשיים שלא הוכרו קודם לכן כנכסים.</t>
  </si>
  <si>
    <t>ב. הכרה לראשונה של נכסים בלתי מוחשיים בסכומים אחרים מהעלות.</t>
  </si>
  <si>
    <t>סעיף 77:</t>
  </si>
  <si>
    <t>מודל ההערכה מחדש מיושם לאחר שנכס הוכר לראשונה לפי עלות. אולם, אם רק חלק מהעלות</t>
  </si>
  <si>
    <t>בתהליך, ניתן ליישם את מודל ההערכה מחדש לנכס זה בכללותו...</t>
  </si>
  <si>
    <t>סעיף 78:</t>
  </si>
  <si>
    <t>בדרך כלל, לא נפוץ שוק פעיל לגבי נכס בלתי מוחשי, למרות שהדבר ייתכן. לדוגמא, בחלק</t>
  </si>
  <si>
    <t>מתחומי השיפוט, שוק פעיל עשוי להתקיים לגבי רשיונות מונית, רשיונות דייג או מכסות ייצור,</t>
  </si>
  <si>
    <t>הניתנים להעברה ללא הגבלה. אולם שוק פעיל לא יכול להתקיים לגבי מותגים... זכויות הוצאה</t>
  </si>
  <si>
    <t>לאור של סרטים ומוסיקה... פטנטים או סימני מסחר, כיוון שכל נכס כזה הוא ייחודי.</t>
  </si>
  <si>
    <t>כמו כן, למרות שנכסים בלתי מוחשיים נרכשים ונמכרים, הרי שחוזים נידונים לאחר משא</t>
  </si>
  <si>
    <t>ומתן בין קונה יחיד למוכר יחיד, ובדרך כלל עסקאות אלו אינן שכיחות.</t>
  </si>
  <si>
    <t xml:space="preserve">מסיבות אלו, המחיר ששולם עבור נכס אחד עשוי שלא לספק ראיה מספקת לשווי הוגן של </t>
  </si>
  <si>
    <t>נכס אחר. יתר על כן, לעתים קרובות, המחירים אינם זמינים לציבור.</t>
  </si>
  <si>
    <t>סעיף 79:</t>
  </si>
  <si>
    <t>תדירות ההערכות מחדש תלויה בתנודתיות שוויים ההוגן של הנכסים הבלתי מוחשיים המוערכים</t>
  </si>
  <si>
    <t>מחדש. אם השווי ההוגן של נכס שהוערך מחדש שונה מהותית מערכו בספרים, נדרשת הערכה</t>
  </si>
  <si>
    <t>מחדש נוספת. נכסים בלתי מוחשיים מסוימים עשויים להיות נתונים לתנודות משמעותיות בשווי</t>
  </si>
  <si>
    <t xml:space="preserve">ההוגן, לפיכך מחייבים הערכה מחדש מדי שנה. </t>
  </si>
  <si>
    <t>הערכות מחדש בתדירות כזו אינן נדרשות לגבי נכסים בלתי מוחשיים, אשר נתונים רק לתנודות</t>
  </si>
  <si>
    <t>בלתי משמעותיות בשווי ההוגן.</t>
  </si>
  <si>
    <t>סעיפים 80-82</t>
  </si>
  <si>
    <t>כאשר נכס בלתי מוחשי מוערך מחדש, הערך בספרים של נכס זה מותאם לסכום המשוערך...</t>
  </si>
  <si>
    <t>אם לא ניתן לבצע הערכה מחדש לנכס בלתי מוחשי, בקבוצת נכסים בלתי מוחשיים שהוערכו</t>
  </si>
  <si>
    <t>מחדש, מאחר ואין שוק פעיל לנכס זה, הנכס יוצג בעלותו בניכוי הפחתה שנצברה ובניכוי הפסדים</t>
  </si>
  <si>
    <t>אם שוויו ההוגן של נכס בלתי מוחשי שהוערך מחדש אינו ניתן עוד למדידה בהתייחס לשוק פעיל,</t>
  </si>
  <si>
    <t>ערכו בספרים של הנכס יהיה הסכום המשוערך שלו במועד ההערכה מחדש האחרונה שבוצעה</t>
  </si>
  <si>
    <t>בהתייחס לשוק הפעיל בניכוי הפחתה שנצברה לאחר מכן ובניכוי הפסדים מירידת ערך שנצברו</t>
  </si>
  <si>
    <t>לאחר מכן.</t>
  </si>
  <si>
    <t>העובדה שלא קיים עוד שוק פעיל לגבי נכס בלתי מוחשי שהוערך מחדש, עשויה להצביע כי ייתכן</t>
  </si>
  <si>
    <t>שחלה ירידת ערך של הנכס, דבר המחייב בחינה של ירידת ערך בהתאם לתקן חשבונאות בינלאומי 36.</t>
  </si>
  <si>
    <t>אם השווי ההוגן של הנכס ניתן למדידה בהתייחס לשוק פעיל במועד מדידה מאוחר יותר, מודל</t>
  </si>
  <si>
    <t>ההערכה מחדש מיושם ממועד זה.</t>
  </si>
  <si>
    <t>סעיפים 85-87</t>
  </si>
  <si>
    <t xml:space="preserve">דנים ביישום הטכני של הערכה מחדש. אין הבדלים מהותיים בדבר אופן הטיפול בהשוואה </t>
  </si>
  <si>
    <t>להערכה מחדש של רכוש קבוע.</t>
  </si>
  <si>
    <r>
      <t xml:space="preserve">במפגש הקודם התחלנו את הדיון בנכסים בלתי מוחשיים, והמשכנו </t>
    </r>
    <r>
      <rPr>
        <u/>
        <sz val="12"/>
        <color theme="1"/>
        <rFont val="David"/>
      </rPr>
      <t xml:space="preserve">לדיון משמעותי במבחני </t>
    </r>
    <r>
      <rPr>
        <b/>
        <u/>
        <sz val="12"/>
        <color theme="1"/>
        <rFont val="David"/>
      </rPr>
      <t>הזיהוי והשליטה</t>
    </r>
  </si>
  <si>
    <r>
      <t xml:space="preserve">טענה 1: שגויה. התקן - IAS 38 מגדיר מפורשות נכסים פיננסיים וכספיים ככאלו </t>
    </r>
    <r>
      <rPr>
        <b/>
        <u/>
        <sz val="12"/>
        <rFont val="David"/>
      </rPr>
      <t>שאינם</t>
    </r>
    <r>
      <rPr>
        <sz val="12"/>
        <rFont val="David"/>
      </rPr>
      <t xml:space="preserve"> בתחולת התקן. </t>
    </r>
  </si>
  <si>
    <t>במלים אחרות: התקן IAS 38 עוסק בנכסים בלתי מוחשיים מזוהים (זיהוי ושליטה).</t>
  </si>
  <si>
    <t>הואיל ומוניטין הוא נכס בלתי מזוהה, איננו מהווה נכס בלתי מוחשי המטופל לפי הנחיות התקן.</t>
  </si>
  <si>
    <r>
      <t xml:space="preserve">בשלב זה, יש לעמוד בדרישות התקן לעניין </t>
    </r>
    <r>
      <rPr>
        <u/>
        <sz val="12"/>
        <rFont val="David"/>
      </rPr>
      <t>הצפי והתכנות ההשלמה</t>
    </r>
    <r>
      <rPr>
        <sz val="12"/>
        <rFont val="David"/>
      </rPr>
      <t xml:space="preserve">, בפן </t>
    </r>
    <r>
      <rPr>
        <u/>
        <sz val="12"/>
        <rFont val="David"/>
      </rPr>
      <t>הטכני והכלכלי</t>
    </r>
    <r>
      <rPr>
        <sz val="12"/>
        <rFont val="David"/>
      </rPr>
      <t>, ובהיעדר נתונים כאלו</t>
    </r>
  </si>
  <si>
    <r>
      <t xml:space="preserve">א. לעסקת ההחלפה </t>
    </r>
    <r>
      <rPr>
        <u/>
        <sz val="12"/>
        <color theme="1"/>
        <rFont val="David"/>
      </rPr>
      <t>אין</t>
    </r>
    <r>
      <rPr>
        <sz val="12"/>
        <color theme="1"/>
        <rFont val="David"/>
      </rPr>
      <t xml:space="preserve"> מהות מסחרית (commercial substance) או</t>
    </r>
  </si>
  <si>
    <r>
      <t xml:space="preserve">ב. השווי ההוגן של הנכס שהתקבל וגם של הנכס שנמסר </t>
    </r>
    <r>
      <rPr>
        <u/>
        <sz val="12"/>
        <color theme="1"/>
        <rFont val="David"/>
      </rPr>
      <t>לא ניתן</t>
    </r>
    <r>
      <rPr>
        <sz val="12"/>
        <color theme="1"/>
        <rFont val="David"/>
      </rPr>
      <t xml:space="preserve"> למדידה מהימנה.</t>
    </r>
  </si>
  <si>
    <t>פקודת היומן:</t>
  </si>
  <si>
    <t>ח׳ רישיון נקניק - נב״מ 70,000</t>
  </si>
  <si>
    <t>ז׳ רישיון בית קפה - עלות 100,000</t>
  </si>
  <si>
    <t>ח׳ רישיון בית קפה - הפחתה נצברת 40,000</t>
  </si>
  <si>
    <t>ז׳ רווח הון מעסקת ההחלפה 10,000</t>
  </si>
  <si>
    <t xml:space="preserve">ל״פחת״ (Depriciation) כאשר מיושם לגבי נבמ״ים. </t>
  </si>
  <si>
    <t xml:space="preserve">המונח ״הפחתה״ (Amortization) שקול </t>
  </si>
  <si>
    <t>ד. האופן שבו הנכס הבלתי מוחשי יפיק הטבות כלכליות עתידיות צפויות. בין היתר, הישות</t>
  </si>
  <si>
    <t>ה. קיומם של משאבים טכניים (technical) פיננסיים ואחרים זמינים להשלמת הפיתוח ולשימוש</t>
  </si>
  <si>
    <t>שאלה לקהל: מדוע הדיון בעלות של נכס בלתי מוחשי שנוצר בישות (בחברה) עצמה, הוא במקרים רבים מורכב</t>
  </si>
  <si>
    <t>ומסועף יותר מאשר הדיון בעלות נכס בלתי מוחשי שנרכש מחיצוניים?</t>
  </si>
  <si>
    <t xml:space="preserve">הוא מורכב לאמידה. אנחנו לא באמת יודעים האם ועד כמה המותג שנוצר פנימית בישות אכן ישרת אותה, </t>
  </si>
  <si>
    <t>באיזה אופן, מהן ההטבות המשוייכות ספציפית אליו, ומה העלויות שיצרו נקודתית אותו.</t>
  </si>
  <si>
    <t>אם למשל חברה בנתה בניין - הרי שקל מאד לזהות את הבניין וגם לבצע שיוך ספציפי של העלויות שנתהוו</t>
  </si>
  <si>
    <t>העלות של נכס בלתי מוחשי אשר נוצר בישות היא סכום היציאות המתהוות מהמועד שבו הנכס</t>
  </si>
  <si>
    <t>באופן בסיסי קובע הסעיף שהמבחנים המוכרים לנו (זיהוי, שליטה, צפי להטבות ויכולת לשייך עלויות) צריכים</t>
  </si>
  <si>
    <t>להתקיים כדי להכיר בנכס. אם עלות מסויימת בשלב כלשהו של חיי הנב״מ לא הוכרה כנכס - הרי שגם אם</t>
  </si>
  <si>
    <t>בתקופות עוקבות, מבחני ההכרה בנכס מתקיימים - לא ״נחזיר״ הוצאה שנרשמה לנכסים.</t>
  </si>
  <si>
    <t>הסעיף הנ״ל איננו מיוחד ואיננו מרגש במיוחד; כל טיבו וטבעו הוא בעצם הטענה שאין זה משנה באיזו עלות מדובר,</t>
  </si>
  <si>
    <t>כל עוד היא משרתת באופן ברור את היצירה של הנכס הבלתי מוחשי - הרי שמדובר בחלק מעלותו, עלות שתוכר</t>
  </si>
  <si>
    <t xml:space="preserve">כנכס בכפוף למבחנים הרלוונטיים. </t>
  </si>
  <si>
    <r>
      <t xml:space="preserve">להלן מרכיבים אשר </t>
    </r>
    <r>
      <rPr>
        <b/>
        <sz val="12"/>
        <color theme="1"/>
        <rFont val="David"/>
      </rPr>
      <t>אינם</t>
    </r>
    <r>
      <rPr>
        <sz val="12"/>
        <color theme="1"/>
        <rFont val="David"/>
      </rPr>
      <t xml:space="preserve"> נכללים בעלות של נכס בלתי מוחשי אשר נוצר בישות:</t>
    </r>
  </si>
  <si>
    <t xml:space="preserve">חוסר יעילות = עלות שניתן למנוע אותה, בדרך של שינוי דפוסי העבודה והגברת יעילות, לא תיוחס לנכס. </t>
  </si>
  <si>
    <t>מדוע יציאה (עלות) בגין הכשרת עובדים לתפעול הנכס איננה ראויה להיות חלק מעלותו שאולי תוכר כנכס?</t>
  </si>
  <si>
    <t>נניח למשל שיש פטנט מסויים, שכדי שישרת את החברה, אני חייב להכשיר את העובדים, ללמד אותם כיצד להשתמש</t>
  </si>
  <si>
    <t>בידע הגלום בפטנט. למה העלות של ההכשרה הזו איננה חלק מעלות הנכס?</t>
  </si>
  <si>
    <t xml:space="preserve">עלויות של הכשרת עובדים אינן מוכרות כנכס; אין שליטה בעובדים - במובן של החלטה טוטאלית ומוחלטת לגביהם. </t>
  </si>
  <si>
    <t>הם בני אדם; הם יקבעו את גורלם :)</t>
  </si>
  <si>
    <t xml:space="preserve">בין 1 בדצמבר 2015 ל-31.12.2015. </t>
  </si>
  <si>
    <t>שנת 2015:</t>
  </si>
  <si>
    <t>בתום שנת 2015 תהליך הייצור מוכר כנכס בלתי מוחשי בעלות של 100 ש״ח, הואיל וזוהי יציאה שהתהוותה מאז המועד</t>
  </si>
  <si>
    <t xml:space="preserve">שבו הקריטריונים להכרה התקיימו (1 בדצמבר 2015). </t>
  </si>
  <si>
    <t>היציאה בסך 900 ש״ח שהתהוותה לפני 1 בדצמבר 2015 מוכרת כהוצאה מאחר והקריטריונים להכרה לא התקיימו עד</t>
  </si>
  <si>
    <t xml:space="preserve">ליום 1 בדצמבר 2015. </t>
  </si>
  <si>
    <t>שנת 2016:</t>
  </si>
  <si>
    <t>בתום שנת 2016, העלות של תהליך הייצור היא 2,100 ש״ח - יציאה בסך 100 ש״ח שהוכרה בתום שנת 2015 בתוספת יציאה</t>
  </si>
  <si>
    <t>בסך 2,000 ש״ח שהוכרה בשנת 2016. הישות מכירה בהפסד מירידת ערך בסך 200 ש״ח על מנת להתאים את הערך בספרים</t>
  </si>
  <si>
    <t xml:space="preserve">של התהליך לפני ההפסד מירידת ערך (2,100 ש״ח) לסכום בר ההשבה שלו (1,900 ש״ח). הפסד מירידת ערך זה יבוטל </t>
  </si>
  <si>
    <t>בתקופה עוקבת, אם הדרישות לביטול הפסד מירידת ערך בתקן חשבונאות בינלאומי IAS 36 מתקיימות.</t>
  </si>
  <si>
    <t xml:space="preserve">בקצרה: </t>
  </si>
  <si>
    <t>בשנת 2015 - ממועד ההכרה רכיב העלות היחידי הוא 100, צפי ההטבות הכולל 500, ולכן יוכר נכס ב-100.</t>
  </si>
  <si>
    <t>בשנת 2016 - ממועד ההכרה רכיב העלות הוא 2,100 (= 100 + 2,000 השנה), צפי ההטבות הכולל 1,900, לכן יוכר הפסד</t>
  </si>
  <si>
    <t xml:space="preserve">מירידת ערך בסך 200. </t>
  </si>
  <si>
    <t>שאלת הקדמה - ״שו הדא שוק פעיל? מדוע צריך אותו? לא דיברנו על זה כשעסקנו בהערכה מחדש לגבי פריטי</t>
  </si>
  <si>
    <t>רכוש קבוע. פשוט אמרנו שמשתמשים בשווי ההוגן וזהו״</t>
  </si>
  <si>
    <t>בשונה מרכוש קבוע - שהזיהוי, השליטה וצפי ההטבה בגינו קלים יחסית לכימות - נכסים בלתי מוחשיים (נבמ״ים)</t>
  </si>
  <si>
    <t>ובמיוחד כאלו שהם ייחודיים באופיים - פטנטים, נכסי מחקר ופיתוח, מותגים ועוד - ערכם נקבע בהתאם למו״מ</t>
  </si>
  <si>
    <t>ספציפי בין הצדדים לעסקה וקשה מאד לכמת את ערכו אם לא קיימות ראיות למסחר בנכסים דומים (שוק פעיל).</t>
  </si>
  <si>
    <t>קבוצה של נכסים בלתי מוחשיים = נכסים בלתי מוחשיים מאותו ״סוג״:</t>
  </si>
  <si>
    <t>קבוצת הפטנטים</t>
  </si>
  <si>
    <t>קבוצת המותגים</t>
  </si>
  <si>
    <t>קבוצת השמות המסחריים</t>
  </si>
  <si>
    <r>
      <rPr>
        <b/>
        <sz val="12"/>
        <color theme="1"/>
        <rFont val="David"/>
      </rPr>
      <t>עקביות</t>
    </r>
    <r>
      <rPr>
        <sz val="12"/>
        <color theme="1"/>
        <rFont val="David"/>
      </rPr>
      <t>: אי אפשר למשל למדוד חלק מהפטנטים לפי עלות, וחלקם</t>
    </r>
  </si>
  <si>
    <t xml:space="preserve">קבוצת הזכיונות </t>
  </si>
  <si>
    <t>האחר לפי הערכה מחדש.</t>
  </si>
  <si>
    <t>קבוצת נכסי המחקר והפיתוח</t>
  </si>
  <si>
    <t xml:space="preserve">אך אפשר למדוד את כל רכיבי קבוצת הפטנטים לפי עלות, </t>
  </si>
  <si>
    <t>וכיו״ב.</t>
  </si>
  <si>
    <t xml:space="preserve">ואת כל קבוצת הזכיונות לפי הערכה מחדש. </t>
  </si>
  <si>
    <t>בדרך זו תישמר עקביות ב״שפה״ ובקנה המידה לדיווח בגין הערכים</t>
  </si>
  <si>
    <t>בכל אחת מהקבוצות ואפשר יהיה להבין מה מייצג הערך הכספי שלהן.</t>
  </si>
  <si>
    <t>החריג לכלל העקביות: אם במסגרת מדידת קבוצה בהערכה מחדש</t>
  </si>
  <si>
    <t>מתגלים מספר נכסים שאין לגביהם שוק פעיל (ולכן שוויים ההוגן</t>
  </si>
  <si>
    <t>לא ניתן לאמידה מהימנה) ניתן לאמוד את אותם ערכים ספציפיים</t>
  </si>
  <si>
    <t>באותה קבוצה לפי עלות (יש לתת גילוי מתאים).</t>
  </si>
  <si>
    <t>עד כה עסקנו בעיקר במבחן ההכרה: אילו נתונים או ערכים צריכים להתקיים על מנת שנכס בלתי מוחשי שנוצר</t>
  </si>
  <si>
    <t xml:space="preserve">פנימית בחברה עצמה, אכן יוכר כנב״מ חשבונאית, לפי הנחיות IAS 38. </t>
  </si>
  <si>
    <t>הואיל ונבמ״ים בדומה לנכסים אחרים, נמדדים לראשונה במועד ההכרה בעלותם, נשאלת השאלה, מהם רכיבי</t>
  </si>
  <si>
    <t>עלות זו?</t>
  </si>
  <si>
    <t xml:space="preserve">הסכום בר ההשבה, כפי שעוד נציג בהמשך, יכול לספק ראייה לירידת ערך פוטנציאלית של הפריט, אך איננו בסיס </t>
  </si>
  <si>
    <t>המדידה. הפריט יימדד בעלותו, עד למועד זמינותו לשימוש, ומשם ואילך, ייושם מודל העלות או הערכה מחדש.</t>
  </si>
  <si>
    <t>דגשים לסעיף 75:</t>
  </si>
  <si>
    <t>כל יישום של מודל הערכה מחדש</t>
  </si>
  <si>
    <t xml:space="preserve">מחייב מעבר דרך הסלקציה </t>
  </si>
  <si>
    <t>של ווארד: שאיננו מתיר כניסה</t>
  </si>
  <si>
    <t>למועדון ההערכה מחדש עבור</t>
  </si>
  <si>
    <t>נכסים שאין להם תעודת ״הסחרות</t>
  </si>
  <si>
    <t>בשוק פעיל״.</t>
  </si>
  <si>
    <t>ואז נתקעים במודל העלות.</t>
  </si>
  <si>
    <t>גוזלי שאל: ומה לגבי מצב שבו נכס</t>
  </si>
  <si>
    <t>מסויים כן נסחר בשוק פעיל, ולפתע השוק שלו מפסיק להיות פעיל?</t>
  </si>
  <si>
    <t>התשובה: ווארד זורק אותו מהמועדון, והחל ממועד הפסקת הקיום כשוק פעיל חוזרים למודל העלות.</t>
  </si>
  <si>
    <t>ווארד</t>
  </si>
  <si>
    <t>ווארד 2</t>
  </si>
  <si>
    <t>אם הנב״מ מפסיק לקיים</t>
  </si>
  <si>
    <t>מוודא שתדירות ההערכה מחדש</t>
  </si>
  <si>
    <t>את הגדרת ההסחרות בשוק</t>
  </si>
  <si>
    <t>היא מספקת (תכופה מספיק)</t>
  </si>
  <si>
    <t>כדי שלא יווצר פער גדול בין</t>
  </si>
  <si>
    <t>שווי הנב״מ לערך הספרים</t>
  </si>
  <si>
    <t>בעברית: מדידה ראשונית היא לפי העלות; לא ניתן למדוד בהערכה מחדש ערכים שאינם נכסיים.</t>
  </si>
  <si>
    <t>אורך חיים שימושיים</t>
  </si>
  <si>
    <t>סעיף 88</t>
  </si>
  <si>
    <t>ישות תעריך אם אורך החיים השימושיים של נכס בלתי מוחשי הוא מוגדר (finite) או בלתי מוגדר (indefinite)</t>
  </si>
  <si>
    <t xml:space="preserve">את אורך החיים השימושיים. </t>
  </si>
  <si>
    <t>נכס בלתי מוחשי יטופל על ידי הישות כנכס בעל אורך חיים שימושיים בלתי מוגדר כאשר, בהתבסס על ניתוח</t>
  </si>
  <si>
    <t>של כל הגורמים הרלוונטיים, אין הגבלה נראית לעין של התקופה שבה הנכס חזוי להפיק תזרימי מזומנים</t>
  </si>
  <si>
    <t>חיוביים נטו לישות.</t>
  </si>
  <si>
    <t>חברה רכשה נכס תיק לקוחות מחברה מתחרה. בהתאם לאומדנים מהימנים שנערכו, בדרך כלל, ה-turnover</t>
  </si>
  <si>
    <t xml:space="preserve">של לקוחות (נטישה או מעבר לחברה מתחרה) מבוצע לאחר השלמה של 4 פרויקטים בממוצע ללקוח. </t>
  </si>
  <si>
    <t>עלות תיק הלקוחות נאמדה ב-400,000 ש״ח. בסך הכל כולל תיק הלקוחות 20 לקוחות. התנאים להכרה</t>
  </si>
  <si>
    <t xml:space="preserve">בנכס הבלתי מוחשי הבשילו ב-1.1.2020 והנכס נמדד לפי מודל העלות. בנתונים אלו, ובהנחה שמספר </t>
  </si>
  <si>
    <r>
      <t xml:space="preserve">הפרויקטים הכולל שבוצע במהלך שנת 2020 הוא </t>
    </r>
    <r>
      <rPr>
        <sz val="12"/>
        <color rgb="FF0070C0"/>
        <rFont val="David"/>
      </rPr>
      <t>30</t>
    </r>
    <r>
      <rPr>
        <sz val="12"/>
        <color theme="1"/>
        <rFont val="David"/>
      </rPr>
      <t>, מהן סך הוצאות ההפחתה ומהו ערך הספרים של הפריט</t>
    </r>
  </si>
  <si>
    <t>נכון ליום 31.12.2020?</t>
  </si>
  <si>
    <t>סה״כ פרויקטים לביצוע במהלך חיי הנכס:</t>
  </si>
  <si>
    <t>הפחתה נצברת:</t>
  </si>
  <si>
    <t xml:space="preserve">ואם כך: חשוב להתנתק מהתפיסה שלפיה הפחתה היא תמיד לפי שנים. לעתים קנה המידה והמשתנה המשפיע על </t>
  </si>
  <si>
    <t xml:space="preserve">רישומן של הוצאות הפחת יהיה שונה. </t>
  </si>
  <si>
    <t>אורך חיים שימושיים והקשר לאופן המדידה</t>
  </si>
  <si>
    <t>סעיף 89</t>
  </si>
  <si>
    <t>הטיפול החשבונאי בנכס בלתי מוחשי מבוסס על אורך החיים השימושיים שלו. נכס בלתי מוחשי בעל אורך</t>
  </si>
  <si>
    <r>
      <t xml:space="preserve">חיים שימושיים מוגדר מופחת, ונכס בלתי מוחשי בעל אורך חיים שימושיים </t>
    </r>
    <r>
      <rPr>
        <b/>
        <sz val="12"/>
        <color theme="1"/>
        <rFont val="David"/>
      </rPr>
      <t>בלתי מוגדר</t>
    </r>
    <r>
      <rPr>
        <sz val="12"/>
        <color theme="1"/>
        <rFont val="David"/>
      </rPr>
      <t xml:space="preserve"> אינו מופחת.</t>
    </r>
  </si>
  <si>
    <t>נראה זאת בהמשך מעשית וביתר פירוט, אך עקרונית הכוונה היא - אם אורך החיים השימושיים מוגדר, כמובן שנפחית</t>
  </si>
  <si>
    <t>לפיו, אבל אם אורך החיים השימושיים בלתי מוגדר (לא ניתן לקבוע אותו כערך מספרי ברור), אזי לא נבצע הפחתה</t>
  </si>
  <si>
    <t>שנתית, ובמקום זה - נבצע בחינה מחודשת בכל שנה, ונבדוק - האם אורך החיים הפך למוגדר, האם יש ירידת ערך.</t>
  </si>
  <si>
    <t>סעיף 90</t>
  </si>
  <si>
    <t>גורמים רבים נלקחים בחשבון בקביעת אורך החיים השימושיים של נכס בלתי מוחשי, כולל:</t>
  </si>
  <si>
    <t>א. השימוש החזוי בנכס על ידי הישות, ואם הנכס יכול להיות מנוהל ביעילות על ידי צוות הנהלה אחר.</t>
  </si>
  <si>
    <t>ב. מחזור חיים טיפוסי של הנכס ומידע זמין לציבור לגבי אומדנים של אורך חיים שימושיים של נכסים דומים</t>
  </si>
  <si>
    <t>שנעשה בהם שימוש דומה.</t>
  </si>
  <si>
    <t>ג. התיישנות טכנית, התיישנות טכנולוגית, התיישנות מסחרית או סוגים אחרים של התיישנות.</t>
  </si>
  <si>
    <t>ד. היציבות של התעשייה בה פועל הנכס ושינויים בביקוש השוק למוצרים או לשירותים שהם תוצריו.</t>
  </si>
  <si>
    <t>ה. פעולות חזויות של מתחרים או מתחרים פוטנציאליים.</t>
  </si>
  <si>
    <t xml:space="preserve">ו. רמת היציאה הנדרשת לתחזוקה על מנת להשיג את ההטבות הכלכליות העתידיות החזויות מהנכס </t>
  </si>
  <si>
    <t>ויכולת הישות וכוונתה להגיע לרמה זו.</t>
  </si>
  <si>
    <t>ז. תקופת השליטה בנכס ומגבלות משפטיות או מגבלות דומות על השימוש בנכס.</t>
  </si>
  <si>
    <t>ח. אם אורך החיים השימושיים של הנכס תלוי באורך החיים השימושיים של נכסים אחרים של הישות.</t>
  </si>
  <si>
    <t>סעיף 91</t>
  </si>
  <si>
    <t>המשמעות של המונח ״בלתי מוגדר״ אינה ״אינסופי״ (infinite). אורך החיים השימושיים של נכס</t>
  </si>
  <si>
    <t>בלתי מוחשי משקף רק את רמת היציאה בגין התחזוקה העתידית הנדרשת על מנת לשמור את הנכס</t>
  </si>
  <si>
    <t>ברמת הביצוע שלו שהוערכה בעת אמידת אורך החיים השימושיים של הנכס, ויכולת הישות וכוונתה</t>
  </si>
  <si>
    <t>להגיע לרמה זו.</t>
  </si>
  <si>
    <t>מסקנה שאורך החיים השימושיים של נכס בלתי מוחשי הוא בלתי מוגדר אינה תלויה ביציאה עתידית</t>
  </si>
  <si>
    <t>מתוכננת לביצוע מעבר לזו שנדרשת על מנת לשמור את הנכס באותה רמת ביצוע.</t>
  </si>
  <si>
    <t>בעברית: אם נדרש להשקיע עלויות כבדות בנכס, כדי להמשיך ולהשמישו, אזי לא מדובר בחלק מאורך חיי הנכס.</t>
  </si>
  <si>
    <t>סעיף 92</t>
  </si>
  <si>
    <t>ההיסטוריה של שינויים מהירים בטכנולוגיה מלמדת שתוכנת מחשב ושנכסים בלתי מוחשיים רבים</t>
  </si>
  <si>
    <t>אחרים רגישים להתיישנות טכנולוגית. לכן, לעתים קרובות אורך החיים השימושיים שלהם הוא קצר.</t>
  </si>
  <si>
    <t>ירידות עתידיות חזויות במחיר המכירה של פריט אשר יוצר תוך שימוש בנכס בלתי מוחשי יכולות</t>
  </si>
  <si>
    <t>להצביע על הציפייה להתיישנות טכנולוגית או מסחרית של הנכס, אשר עשויות לשקף קיטון בהטבות</t>
  </si>
  <si>
    <t>הכלכליות הגלומות בנכס.</t>
  </si>
  <si>
    <t>סעיף 93</t>
  </si>
  <si>
    <t>אורך החיים השימושיים של נכס בלתי מוחשי עשוי להיות ארוך מאד, או אפילו בלתי מוגדר.</t>
  </si>
  <si>
    <t>אי ודאות מצדיקה אמידת אורך החיים השימושיים של נכס בלתי מוחשי על בסיס זהיר, אך אינה</t>
  </si>
  <si>
    <t>מצדיקה בחירת אורך חיים קצר באופן לא מציאותי.</t>
  </si>
  <si>
    <t>סעיף 94</t>
  </si>
  <si>
    <t>אורך החיים השימושיים של נכס בלתי מוחשי הנובע מזכויות חוזיות או מזכויות משפטיות אחרות</t>
  </si>
  <si>
    <t>לא יעלה על התקופה של הזכויות החוזיות או הזכויות המשפטיות האחרות, אולם אורך החיים</t>
  </si>
  <si>
    <t>השימושיים עשוי להיות קצר יותר, בהתאם לתקופה בה הישות צופה להשתמש בנכס. אם הזכויות</t>
  </si>
  <si>
    <t xml:space="preserve">המשפטיות האחרות נמסרות לתקופה מוגבלת שניתנת לחידוש, אורך החיים השימושיים של הנכס </t>
  </si>
  <si>
    <t>הבלתי מוחשי יכלול את תקופת החידוש או את תקופות החידוש רק אם קיימת ראייה התומכת</t>
  </si>
  <si>
    <t>בחידוש ללא עלות משמעותית.</t>
  </si>
  <si>
    <t>שאלה 7 - לגבי סעיף 94 ואפשרות חידוש</t>
  </si>
  <si>
    <t>המרצה שי קיבל רישיון לשווק את מוצרי Apple לתקופה של שנה. שי מאמין שלא תהיה לו כל בעיה</t>
  </si>
  <si>
    <t>להמשיך ולחדש רישיון זה גם לעתיד לתקופה בלתי מוגבלת. יחד עם זאת, כדי לשמור על רמה ראויה</t>
  </si>
  <si>
    <t>המתאימה לשיווק מוצרי Apple, עליו להשקיע סכומים משמעותיים על בסיס שנתי בנראות של החנות</t>
  </si>
  <si>
    <t xml:space="preserve">צורתה החיצונית ושירות הלקוחות. בהנחה ויעשה זאת, יוכל לחדש את הרישיון עצמו ללא עלות </t>
  </si>
  <si>
    <t xml:space="preserve">משמעותית. </t>
  </si>
  <si>
    <t>נדרש: האם אורך החיים השימושיים של הנכס הבלתי מוחשי סופי / אינסופי / בלתי מוגדר? נמקו.</t>
  </si>
  <si>
    <t>פתרון שאלה 7</t>
  </si>
  <si>
    <t xml:space="preserve">ככלל, על פי הדרישה בתקן, ניתן לעתים להתייחס להסכמים הניתנים לחידוש כבעלי אורך חיים </t>
  </si>
  <si>
    <t xml:space="preserve">בלתי מוגדר. אלא - שהתנאי לכך הוא שהחידוש איננו מותנה בביצוע פעילות משמעותית / עלות </t>
  </si>
  <si>
    <t>נכרת. הואיל וכאן, חידוש החוזה, הגם שצפוי, מותנה בעלות ניכרת כאמור, לא ניתן להכיר בנב״מ</t>
  </si>
  <si>
    <t>גורמים כלכליים וגורמים משפטיים והשפעתם על אורך החיים של נב״מ</t>
  </si>
  <si>
    <t>סעיף 95</t>
  </si>
  <si>
    <t>הן גורמים כלכליים והן גורמים משפטיים עשויים להשפיע על אורך החיים השימושיים של נכס בלתי מוחשי.</t>
  </si>
  <si>
    <t>גורמים כלכליים קובעים את משך התקופה בה הטבות כלכליות עתידיות יתקבלו על ידי הישות.</t>
  </si>
  <si>
    <t xml:space="preserve">גורמים משפטיים עשויים להגביל את התקופה בה הישות שולטת בגישה להטבות אלו. </t>
  </si>
  <si>
    <t>אורך החיים השימושיים הוא הקצר מבין התקופות שנקבעות על ידי גורמים אלה.</t>
  </si>
  <si>
    <t>סעיף 96</t>
  </si>
  <si>
    <t>קיומם של הגורמים הבאים, בין היתר, מצביע על כך שישות תהיה מסוגלת לחדש את הזכויות החוזיות או</t>
  </si>
  <si>
    <t>הזכויות המשפטיות ללא עלות משמעותית:</t>
  </si>
  <si>
    <t xml:space="preserve">א. קיימת ראייה... שהזכויות החוזיות או המשפטיות האחרות יחודשו. אם חידוש מותנה בהסכמת צד שלישי, </t>
  </si>
  <si>
    <t>ב. קיימת ראיה כי כל התנאים הנדרשים להשגת חידוש יתקיימו.</t>
  </si>
  <si>
    <t>ג. עלות החידוש לישות אינה משמעותית בהשוואה להטבות הכלכליות העתידיות החזויות לזרום אל הישות</t>
  </si>
  <si>
    <t>מהחידוש.</t>
  </si>
  <si>
    <t xml:space="preserve">אם עלות החידוש היא משמעותית בהשוואה להטבות הכלכליות העתידיות החזויות לזרום אל הישות </t>
  </si>
  <si>
    <t>מהחידוש, עלות החידוש מייצגת במהות את העלות לרכישת נכס בלתי מוחשי חדש במועד החידוש.</t>
  </si>
  <si>
    <t>סעיף 98א</t>
  </si>
  <si>
    <t xml:space="preserve">קיימת הנחה הניתנת להפרכה ששיטת הפחתה המבוססת על ההכנסות המופקות מפעילות הכוללת את </t>
  </si>
  <si>
    <t xml:space="preserve">השימוש בנכס בלתי מוחשי משקפות בדרך כלל גורמים שאינם קשורים ישירות לצריכה של ההטבות </t>
  </si>
  <si>
    <t>הכלכליות הגלומות בנכס בלתי מוחשי.</t>
  </si>
  <si>
    <t>לדוגמא, הכנסות מושפעות מתשומות ותהליכים אחרים, פעילויות מכירה ושינויים בהיקפי מכירות</t>
  </si>
  <si>
    <t>ובמחיר מכירה.</t>
  </si>
  <si>
    <t xml:space="preserve">רכיב המחיר של הכנסות עשוי להיות מושפע מאינפלציה, אשר אין לה קשר לאופן שבו הנכס נצרך. </t>
  </si>
  <si>
    <t>ניתן להפריך הנחה זו רק בנסיבות המוגבלות:</t>
  </si>
  <si>
    <t>א. בהן הנכס הבלתי מוחשי מבוטא כמדד של הכנסות כמבוטא בסעיף 98ג; או</t>
  </si>
  <si>
    <t>ב. כאשר ניתן להוכיח שהכנסות וצריכה של ההטבות הכלכליות של הנכס הבלתי מוחשי מקיימות</t>
  </si>
  <si>
    <t xml:space="preserve">רמת תאימות גבוהה (highly correlated). </t>
  </si>
  <si>
    <t>סעיף 98ב</t>
  </si>
  <si>
    <t>בבחירת שיטת הפחתה נאותה בהתאם לסעיף 98, ישות יכולה לקבוע את הגורם המגביל הדומיננטי</t>
  </si>
  <si>
    <t>שטבוע בנכס הבלתי מוחשי.</t>
  </si>
  <si>
    <t>לדוגמה, החוזה שמפרט את זכויות הישות לגבי שימושה בנכס בלתי מוחשי עשוי לקבוע את שימוש</t>
  </si>
  <si>
    <t>הישות בנכס הבלתי מוחשי כמספר קבוע של שנים (כלומר זמן), כמספר יחידות שיוצרו או כסכום כולל</t>
  </si>
  <si>
    <t>של הכנסות שיופקו.</t>
  </si>
  <si>
    <t>זיהוי של גורם מגביל דומיננטי כזה יכול לשמש כנקודת מוצא לזיהוי הבסיס הנאות להפחתה, אך ניתן</t>
  </si>
  <si>
    <t>ליישם בסיס אחר אם הוא משקף באופן טוב יותר את התבנית החזויה של צריכת ההטבות הכלכליות.</t>
  </si>
  <si>
    <t>משמעות הסעיף: המשתנה שלפיו מוגדר או מוגבל חוזה הנב״מ - הוא במקרים רבים המשתנה לפיו יופחת הנב״מ.</t>
  </si>
  <si>
    <t>למשל - אם הנב״מ מוגדר למשך חיים מסויים בשנים, הגיוני לבצע את הפחתתו לפי שנים.</t>
  </si>
  <si>
    <t>אם הנב״מ מוגדר כך שזכויותיו לרוכשו פוקעות לאחר ייצור מספר מסויים של יח׳ - הגיוני לבצע הפחתתו ביח׳.</t>
  </si>
  <si>
    <t>סעיף 98ג</t>
  </si>
  <si>
    <t>בנסיבות שבהן הגורם המגביל הדומיננטי שטבוע בנכס בלתי מוחשי הוא עמידה בסף הכנסות, ההכנסות</t>
  </si>
  <si>
    <t>שיופקו יכולות להוות בסיס נאות להפחתה.</t>
  </si>
  <si>
    <t xml:space="preserve">לדוגמא, ישות יכולה לרכוש זיכיון לחיפוש ולכריית זהב ממכרה זהב. פקיעת החוזה עשויה להתבסס על </t>
  </si>
  <si>
    <t xml:space="preserve">סכום קבוע של סך הכנסות שיופקו מהכרייה (לדוגמה, חוזה עשוי לאפשר כרייה של זהב מהמכרה עד שסך </t>
  </si>
  <si>
    <t>הכל הכנסות מצטברות ממכירת זהב יגיע ל-2 מיליארד ש״ח), ולא להתבסס על זמן או על כמות הזהב</t>
  </si>
  <si>
    <t>שתיכרה.</t>
  </si>
  <si>
    <t xml:space="preserve">בדוגמה אחרת, הזכות להפעיל כביש אגרה יכולה להתבסס על סכום קבוע של הכנסות שיופקו מאגרות </t>
  </si>
  <si>
    <t>מצטברות שחויבו (לדוגמה, חוזה יכול לאפשר הפעלה של כביש האגרה עד שהסכום המצטבר של האגרות</t>
  </si>
  <si>
    <t>הופקו מהפעלת כביש האגרה יגיע ל-100 מיליון ש״ח).</t>
  </si>
  <si>
    <t>במקרה שבו ההכנסות נקבעו כגורם המגביל הדומיננטי בחוזה לשימוש בנכס הבלתי מוחשי, ההכנסות</t>
  </si>
  <si>
    <t>שיופקו עשויות להיוות בסיס נאות להפחתת הנכס הבלתי מוחשי, בתנאי שהחוזה נוקב בסכום כולל קבוע</t>
  </si>
  <si>
    <t>של הכנסות שיופקו שעל פיו תקבע ההפחתה.</t>
  </si>
  <si>
    <t>סעיף 99</t>
  </si>
  <si>
    <t>הפחתה, בדרך כלל, מוכרת ברווח או הפסד. אולם, לעתים, ההטבות הכלכליות הגלומות בנכס משימשות</t>
  </si>
  <si>
    <t>בייצור נכסים אחרים. במקרה זה, סכום ההפחתה מהווה חלק מהעלות של הנכס האחר ונכלל בערכו בספרים.</t>
  </si>
  <si>
    <t>לדוגמה, ההפחתה של נכסים בלתי מוחשיים ששימשו בתהליך ייצור נכללת בערך בספרים של מלאי</t>
  </si>
  <si>
    <t xml:space="preserve">בהתאם להנחיות IAS 2. </t>
  </si>
  <si>
    <t>ערך שייר של נכס בלתי מוחשי בעל אורך חיים שימושיים מוגדר</t>
  </si>
  <si>
    <t>סעיף 100</t>
  </si>
  <si>
    <t>יש להניח כי ערך השייר של נכס בלתי מוחשי בעל אורך חיים שימושיים מוגדר הוא אפס, אלא אם:</t>
  </si>
  <si>
    <t>א. קיימת התחייבות של צד שלישי לרכוש את הנכס בתום אורך החיים השימושיים שלו; או</t>
  </si>
  <si>
    <t>ב. קיים שוק פעיל לגבי הנכס וכן:</t>
  </si>
  <si>
    <t>ב1. ערך השייר ניתן לקביעה בהתייחס לשוק זה.</t>
  </si>
  <si>
    <t>ב2. צפוי ששוק כאמור יתקיים בתום אורך החיים השימושיים של הנכס.</t>
  </si>
  <si>
    <t>בעברית - ברירת המחדל לנב״מ היא ערך שייר אפס. זה היה נכון גם לגבי רכוש קבוע - אבל לגבי רכוש קבוע זו היתה</t>
  </si>
  <si>
    <t>ברירת מחדל ״תרגילית״ ולא ברירת מחדל ״תקנית״.</t>
  </si>
  <si>
    <t>סעיף 101</t>
  </si>
  <si>
    <t>הסכום בר הפחת של נכס בעל אורך חיים שימושיים מוגדר נקבע לאחר ניכוי ערך השייר שלו.</t>
  </si>
  <si>
    <t>ערך שייר שונה מאפס משמעו כי ישות צופה לממש את הנכס הבלתי מוחשי לפני תום אורך החיים הכלכליים.</t>
  </si>
  <si>
    <t>סעיף 102</t>
  </si>
  <si>
    <t>אומדן ערך שייר של נכס מבוסס על הסכום הניתן להשבה ממימושו תוך שימוש במחירים השוררים במועד</t>
  </si>
  <si>
    <t xml:space="preserve">האמידה לגבי מכירת נכס דומה שהגיע לתום אורך חייו השימושיים ופעל תחת תנאים דומים לאלה </t>
  </si>
  <si>
    <t>שתחתם ייעשה שימוש בנכס.</t>
  </si>
  <si>
    <t>שינוי בערך השייר של הנכס מטופל כשינוי באומדן חשבונאי בהתאם להנחיות IAS 8 בדבר מדיניות</t>
  </si>
  <si>
    <t>חשבונאית, שינויים באומדנים חשבונאיים וטעויות.</t>
  </si>
  <si>
    <t>סעיף 103</t>
  </si>
  <si>
    <t>ערך השייר של נכס בלתי מוחשי עשוי לעלות לסכום השווה לערך בספרים של הנכס או לסכום הגבוה</t>
  </si>
  <si>
    <t>ממנו. אם כך הדבר, סכום ההפחתה של הנכס הוא אפס, אלא אם כן ערך השייר שלו יורד לאחר מכן</t>
  </si>
  <si>
    <t>לסכום הנמוך מהערך בספרים של הנכס.</t>
  </si>
  <si>
    <t>סעיף 103 רלוונטי בעיקר למדידה לפי עלות, או למדידה בין מועדי הערכה מחדש. שהרי, ערך השייר כן נאמד בכל תקופה</t>
  </si>
  <si>
    <t>מחדש, ושינויים בו מטופלים לפי IAS 8. לגבי העלות - היא נותרת זהה או לפי Carrying Amount (ערך ספרים) ולכן</t>
  </si>
  <si>
    <t>אם המודל הוא מודל העלות, בהחלט ייתכן שערך השייר יעלה, העלות / העלות המופחתת תקטן או תיוותר ללא שינוי,</t>
  </si>
  <si>
    <t>כך שההפרש בין יתרת הערך לבין השייר יהפוך להיות אפס פוטנציאלית.</t>
  </si>
  <si>
    <t>סקירת תקופת ההפחתה ושיטת ההפחתה</t>
  </si>
  <si>
    <t>סעיף 104</t>
  </si>
  <si>
    <t>תקופת ההפחתה ושיטת ההפחתה של נכס בלתי מוחשי בעל אורך חיים שימושיים מוגדר ייסקרו לפחות</t>
  </si>
  <si>
    <t>בכל סוף שנת כספים.</t>
  </si>
  <si>
    <t>אם אורך החיים השימושיים החזוי של הנכס שונה מאומדנים קודמים, יש לשנות את תקופת ההפחתה</t>
  </si>
  <si>
    <t>בהתאם. אם חל שינוי בתבנית החזויה של צריכת ההטבות הכלכליות העתידיות שגלומות בנכס, יש לשנות</t>
  </si>
  <si>
    <t xml:space="preserve">את שיטת ההפחתה על מנת לשקף את התבנית שהשתנתה. </t>
  </si>
  <si>
    <t xml:space="preserve">שינויים כאלה יטופלו כשינויים באומדנים חשבונאיים בהתאם לתקן IAS 8. </t>
  </si>
  <si>
    <t>סעיף 105</t>
  </si>
  <si>
    <t>במהלך אורך החיים של נכס בלתי מוחשי, עשוי להתברר כי האומדן של אורך החיים השימושיים שלו</t>
  </si>
  <si>
    <t>אינו נאות. לדוגמה, ההכרה בהפסד מירידת ערך עשויה להצביע על כך שיש לשנות את תקופת ההפחתה.</t>
  </si>
  <si>
    <t>סעיף 106</t>
  </si>
  <si>
    <t>במהלך הזמן, התבנית של ההטבות הכלכליות העתידיות החזויות לזרום אל ישות מנכס בלתי מוחשי עשויה</t>
  </si>
  <si>
    <t>להשתנות. לדוגמה, עשוי להתברר כי הפחתה לפי שיטת היתרה הפוחתת נאותה יותר מאשר לפי שיטת קו</t>
  </si>
  <si>
    <t>ישר. דוגמה אחרת היא, אם שימוש בזכויות המיוצרות על ידי רישיון נדחה עקב התלות בפעולה של מרכיבים</t>
  </si>
  <si>
    <t>אחרים של התכנית העסקית. במקרה זה, ייתכן שהטבות כלכליות שזורמות מהנכס לא יתקבלו, אלא</t>
  </si>
  <si>
    <t>בתקופות מאוחרות יותר.</t>
  </si>
  <si>
    <r>
      <t xml:space="preserve">פעיל </t>
    </r>
    <r>
      <rPr>
        <b/>
        <sz val="12"/>
        <color theme="1"/>
        <rFont val="David"/>
      </rPr>
      <t>בועטים</t>
    </r>
    <r>
      <rPr>
        <sz val="12"/>
        <color theme="1"/>
        <rFont val="David"/>
      </rPr>
      <t xml:space="preserve"> אותו מהמועדון</t>
    </r>
  </si>
  <si>
    <t>בפרקים הקודמים (והקשר ל - Ward):</t>
  </si>
  <si>
    <t>אז מה בתכנית היום?</t>
  </si>
  <si>
    <t>א. מהו ״שוק פעיל״ לצרכי הערכה מחדש (וכפועל יוצא, מעבר לרמה המושגית, עד כמה המודל אכן פופולרי בפרקטיקה).</t>
  </si>
  <si>
    <t>ב. הפסקת שוק פעיל והקשר לירידת ערך נכסים.</t>
  </si>
  <si>
    <t>ג. דיון באורך חיים לצרכי תקופת הפחתה.</t>
  </si>
  <si>
    <t>ד. אפשרויות חידוש והשפעתן על אורך החיים.</t>
  </si>
  <si>
    <t xml:space="preserve">ה. אורך חיים מוגדר ובלתי מוגדר בנב״מ (הבדל עקרוני מול אורך חיים אינסופי). </t>
  </si>
  <si>
    <t>שאלה 8 - שאלה כמותית ״גדולה״ - רישיון לפופקורן</t>
  </si>
  <si>
    <t>בתאריך 1 ביולי 2012 רכשה חברה רישיון למכירת פופקורן בלונה-פארק בתל אביב. להלן נתונים רלוונטיים לגבי הרישיון:</t>
  </si>
  <si>
    <t>א. עלות הרישיון היא 200,000 ש״ח.</t>
  </si>
  <si>
    <t xml:space="preserve">ב. על פי תנאי התשלום, התמורה תועבר בפועל למוכר בתאריך 31 בדצמבר 2012. </t>
  </si>
  <si>
    <t>ג. ידוע כי עלות הרישיון במזומן היא 190,000 ש״ח.</t>
  </si>
  <si>
    <t>ד. הרישיון מוגבל לתקופה בת 10 שנים.</t>
  </si>
  <si>
    <t>ה. במהלך תקופת הרישיון, ניתן למכור את הרישיון לאחרים בשוק המשני.</t>
  </si>
  <si>
    <t>הנחות ונתונים נוספים:</t>
  </si>
  <si>
    <t xml:space="preserve">א. הרישיונות למכירת פופקורן בלונה-פארקים נסחרים בשוק פעיל, כהגדרתו ב- IAS 38. </t>
  </si>
  <si>
    <t>ב. החברה מיישמת את מודל ההערכה מחדש בתדירות שנתית לאחר ההכרה לראשונה בנכס.</t>
  </si>
  <si>
    <t>ג. החברה נוהגת לאפס את יתרת הפחת הנצבר בכל מועד הערכה מחדש.</t>
  </si>
  <si>
    <t>ד. קרן ההערכה מחדש מועברת לעודפים בקצב ההפחתה.</t>
  </si>
  <si>
    <t>להלן נתונים בדבר השווי ההוגן של הרישיון לתאריכים שונים:</t>
  </si>
  <si>
    <t>התפתחויות נוספות לאחר 2014:</t>
  </si>
  <si>
    <t>א. בשנת 2015 הופסק המסחר בנכס בשוק המשני.</t>
  </si>
  <si>
    <t>ב. בתום שנת 2015, מעריכה החברה כי תזרימי המזומנים נטו הצפויים מהשימוש ברישיון יעמדו על כ-2,400 ש״ח לחודש.</t>
  </si>
  <si>
    <t>שיעור ההיוון החודשי הנו 1%.</t>
  </si>
  <si>
    <t xml:space="preserve">בר השבה ולבחון את הצורך בביצוע הפרשה לירידת ערך על פי IAS 36. </t>
  </si>
  <si>
    <t>נדרש: רשום פקודות יומן והצג יתרות בדוחות הכספיים עבור השנים הנתונות בשאלה.</t>
  </si>
  <si>
    <t>פתרון שאלה 8 - שאלה כמותית ״גדולה״ - רישיון לפופקורן</t>
  </si>
  <si>
    <t>נתחיל מהדיון העקרוני בעצם קיומו של נכס בלתי מוחשי:</t>
  </si>
  <si>
    <t>כמובן שהרישיון עצמו איננו מוחשי; אבל השאלה הבאה בתור היא כמובן לגבי מבחני זיהוי ושליטה בהיבט ההטבות</t>
  </si>
  <si>
    <t>הכלכליות שצפויות לנבוע מהרישיון.</t>
  </si>
  <si>
    <t>א. מבחן הזיהוי: במקרה הזה, מדובר ברכישה מגורם חיצוני, ולא בנכס הנוצר פנימית, סביר להניח שהסכם הרכישה</t>
  </si>
  <si>
    <t>מלווה בחוזה / הסכם משפטי, שמגדיר (מזהה) את הנכס. לכן, מבחן הזיהוי מתקיים, ועובדה זו תקפה לא רק במקרה</t>
  </si>
  <si>
    <t>זה כמובן - אלא על פי התקן - בכל מקרה של נכס בלתי מוחשי שהוא תוצרו של תהליך משפטי מזוהה.</t>
  </si>
  <si>
    <t>ב. מבחן השליטה: עיקרו של מבחן השליטה הוא ביכולת להניב הטבות ולהגביל אחרים מהגישה להטבות אלו. כלומר</t>
  </si>
  <si>
    <t>קיום שליטה במקרה של רישיון נובע מעצם העובדה שהרישיון לא ניתן ״לכל דכפין״ אלא רק לרוכשו / למחזיק בו,</t>
  </si>
  <si>
    <t>וזו החברה.</t>
  </si>
  <si>
    <t>לגבי ההטבות הכלכליות הצפויות - ראשית, עצם העובדה שמשולם סכום מסוים בעד הרישיון; וכן שמדובר ברישיון</t>
  </si>
  <si>
    <t>ספציפי שמאפשר מכירת פופקורן בשטח מסחרי עתיר ילדי נזלת המשתוקקים לפופקורן גם במחירים מופקעים</t>
  </si>
  <si>
    <t>במיוחד ואוחזים בשרוול הוריהם וזועקים השמימה ״אבא פופקורן אבא פופקורן״.</t>
  </si>
  <si>
    <t>טבלת ריכוזי היתרות והדיווחים לכל השנים:</t>
  </si>
  <si>
    <t>רישיון</t>
  </si>
  <si>
    <t>הפרשה לי״ע</t>
  </si>
  <si>
    <t>הוצאות הפחתה</t>
  </si>
  <si>
    <t>שנת 2012</t>
  </si>
  <si>
    <t>כבר בשנה זו, כמפורט לעיל, מתקיימים מבחני הזיהוי והשליטה. כאמור מדובר בנב״מ שנוצר כתוצאה מרכישה, ולכן</t>
  </si>
  <si>
    <t>מבחני הזיהוי והשליטה מעוגנים בעצם ההסכם שנחתם / הסדר הרכישה, וכמובן, שיש צפי להטבות כלכליות בעצם</t>
  </si>
  <si>
    <t xml:space="preserve">התשלום הגלום באקט הרכש. </t>
  </si>
  <si>
    <t>העניין הוא - מהי עלות הנכס. לכאורה, על פי הנתונים, ישנן 2 אפשרויות:</t>
  </si>
  <si>
    <t>עלות של 200,000</t>
  </si>
  <si>
    <t>עלות של 190,000 ש״ח</t>
  </si>
  <si>
    <t xml:space="preserve">בתנאי תשלום </t>
  </si>
  <si>
    <t>בתנאי תשלום:</t>
  </si>
  <si>
    <t>של חצי שנה לאחר</t>
  </si>
  <si>
    <t>מזומן מיידי</t>
  </si>
  <si>
    <t>הרכישה:</t>
  </si>
  <si>
    <r>
      <t xml:space="preserve">הסדר זה </t>
    </r>
    <r>
      <rPr>
        <b/>
        <sz val="12"/>
        <color theme="1"/>
        <rFont val="David"/>
      </rPr>
      <t>לא מיושם</t>
    </r>
  </si>
  <si>
    <t>הרכישה ב-1.7.2012</t>
  </si>
  <si>
    <t>והתשלום ב-31.12.2012</t>
  </si>
  <si>
    <t>הואיל ואנו דנים בעלות בתור המדד המרכזי למדידת הנכס ערב ההכרה / ערב הרכישה, חשוב לזכור שעלות מוגדרת</t>
  </si>
  <si>
    <t xml:space="preserve">במונחי ״מזומן״ או ״שווה מזומן״. </t>
  </si>
  <si>
    <t>לשון אחרת, אם ניתן לרכוש את הנכס ב-190,000 ש״ח במזומן, זו תהא עלותו, וכל הפרש שנוצר בעקבות דחייה</t>
  </si>
  <si>
    <t>בתנאי התשלום תפרס על פני זמן ותוכר כהוצאות מימון תקופתיות.</t>
  </si>
  <si>
    <t>עלות = עלות במזומן.</t>
  </si>
  <si>
    <t>פקודת יומן - 1.7.2012 - יישום הסדר הרכישה:</t>
  </si>
  <si>
    <t>חובה נב״מ</t>
  </si>
  <si>
    <t>זכות זכאים</t>
  </si>
  <si>
    <t>זאת הואיל והנב״מ כאמור בשווי עלותו במזומן, והעובדה שטרם שולם בעבורו יוצרת במקביל הכרה בהתחייבות לתשלום</t>
  </si>
  <si>
    <t>עתידי. יש לשים לב, שגם הנכס וגם ההתחייבות מוגדרים במונחי ״ערך נוכחי״ = במונחי הסכום ב״מזומן״.</t>
  </si>
  <si>
    <t>פקודת יומן - 31.12.2012 - תשלום בעד הנכס, סילוק ההתחייבות, הכרה בהוצאות מימון הפרשיות:</t>
  </si>
  <si>
    <t>חובה הוצאות מימון</t>
  </si>
  <si>
    <t xml:space="preserve">200,000 - 190,000 = </t>
  </si>
  <si>
    <t>חובה זכאים</t>
  </si>
  <si>
    <t>זכות מזומן</t>
  </si>
  <si>
    <t>יש כאלו שמעדיפים לשערך תחילה את ההתחייבות כנגד הוצאות מימון, ומיד לאחר מכן לסלקה.</t>
  </si>
  <si>
    <t>כמובן זה לא משפיע על הערכים המדווחים לסוף השנה:</t>
  </si>
  <si>
    <t>ואז:</t>
  </si>
  <si>
    <t xml:space="preserve">חובה זכאים </t>
  </si>
  <si>
    <t>פקודת יומן - 31.12.2012 - הפחתת הנכס:</t>
  </si>
  <si>
    <t>כאשר מדובר בנכסי נב״מים בעלי אורך חיים מוצהר ומוגדר (וכאן - 10 שנים) יש לדאוג להפחיתם על פני אורך</t>
  </si>
  <si>
    <t xml:space="preserve">חייהם השימושיים. </t>
  </si>
  <si>
    <t xml:space="preserve">הואיל ומדובר ברישיון, בתום תוקפו לא צפוי להיות לו ערך, כלומר - אין שייר. </t>
  </si>
  <si>
    <t>חובה הוצאות הפחתה</t>
  </si>
  <si>
    <t>זכות הפחתה נצברת</t>
  </si>
  <si>
    <t>פקודת יומן - 31.12.2012 - מדידה - הערכה מחדש - איפוס הפחתה נצברת:</t>
  </si>
  <si>
    <t xml:space="preserve">על פי נתוני השאלה, מיושם מודל הערכה מחדש למדידת הנב״מ במקרה זה. </t>
  </si>
  <si>
    <t>למרבה השמחה, בנתוני השאלה נאמר מפורשות - קיים שוק פעיל לרישיונות מסוג זה, ולא רק זאת - אלא גם נרשם</t>
  </si>
  <si>
    <t>מפורשות השווי ההוגן לתום 2012:</t>
  </si>
  <si>
    <t>רגע לפני המדידה:</t>
  </si>
  <si>
    <t>לפני יישום</t>
  </si>
  <si>
    <t xml:space="preserve">איפוס </t>
  </si>
  <si>
    <t>31.12.2012</t>
  </si>
  <si>
    <t xml:space="preserve">הפחנ״צ </t>
  </si>
  <si>
    <t>חובה הפחתה נצברת</t>
  </si>
  <si>
    <t>זכות רישיון (נב״מ)</t>
  </si>
  <si>
    <t>פקודת יומן - 31.12.2012 - מדידה - הערכה מחדש - שערוך ערך הספרים (ע״ע או י״ע):</t>
  </si>
  <si>
    <t xml:space="preserve">לאחר איפוס הפחת הנצבר, נבחן הפרשים ככל שקיימים בין השווי ההוגן העדכני ערב השערוך, לבין ערך הספרים </t>
  </si>
  <si>
    <t>למועד השערוך.</t>
  </si>
  <si>
    <t>כאשר במועד הערכה מחדש לראשונה נוצר הפרש חיובי בין השווי ההוגן לבין ערך הספרים, אזי נכיר בו במסגרת</t>
  </si>
  <si>
    <t>חובה נב״מ (רישיון)</t>
  </si>
  <si>
    <t>זכות קרן הערכה מחדש</t>
  </si>
  <si>
    <t>שנת 2013</t>
  </si>
  <si>
    <t xml:space="preserve">בתור התחלה, ננסה למפות בצורה מסודרת את רשימת הפעולות שנרצה להתייחס אליהן במסגרת תיעוד הנכס </t>
  </si>
  <si>
    <t>והשינויים בו בשנה זו:</t>
  </si>
  <si>
    <t>א. הוצאות הפחתה - בהתאם לערך העדכני (כי הוא שוערך) ויתרת אורך החיים העדכנית ערב השערוך האחרון.</t>
  </si>
  <si>
    <t>ב. הפחתה שיטתית של קרן ההערכה מחדש כנגד העודפים.</t>
  </si>
  <si>
    <t>ג. איפוס פחת נצבר (הכנה להערכה מחדש).</t>
  </si>
  <si>
    <t xml:space="preserve">ד. הערכה מחדש. </t>
  </si>
  <si>
    <t>פקודת יומן - הוצאות הפחתה ב-2013:</t>
  </si>
  <si>
    <t>ערך הספרים של הנכס לאחר השערוך ביום 31.12.2012:</t>
  </si>
  <si>
    <t>יתרת אורך חיים עדכנית ליום 31.12.2012:</t>
  </si>
  <si>
    <t xml:space="preserve">195,000 / 9.5 = </t>
  </si>
  <si>
    <t>פקודת יומן - הפחתה שיטתית של קרן ההערכה מחדש כנגד העודפים:</t>
  </si>
  <si>
    <t>ככלל: אם אין נתונים סותרים, התייחסות לקרן ההערכה מחדש כ״קבועה״ כך שסכומה ישתנה רק לאחר שערוכים</t>
  </si>
  <si>
    <t>עוקבים, או במועד מימוש הנכס (שבמסגרתו הקרן עוברת במלואה לעודפים) בהחלט אפשרית.</t>
  </si>
  <si>
    <t>יחד עם זאת, התקנים המתאימים (הערכה מחדש לפי IAS 16 לגבי פריטי רכוש קבוע, ולגבי נבמ״ים - IAS 38)</t>
  </si>
  <si>
    <t>מאפשרים להפחית את קרן ההערכה מחדש בקצב הפחת.</t>
  </si>
  <si>
    <t>עוד לפני שנראה כיצד מיישמים - נשאלת השאלה, למה. מה ההיגיון במתן 2 מתודות אפשריות למדידת קרן ההערכה</t>
  </si>
  <si>
    <t>מחדש?</t>
  </si>
  <si>
    <t>ככלל: כאשר עולה שווי פריט המוערך מחדש, הוצאות הפחת / ההפחתה בגינו גדלות בתקופות העוקבות.</t>
  </si>
  <si>
    <t xml:space="preserve">הוצאות הפחת מקטינות את הרווח, ובהתאם - מקטינות את יתרת העודפים בהון העצמי. </t>
  </si>
  <si>
    <t>הואיל ובמקרים רבים מטרת החברה היא להמנע מהקטנת עודפים זו (שכלכלית - אין בה ״אמת כלכלית״ גדולה,</t>
  </si>
  <si>
    <t>שכן הנכסים רק עלו, ולא נוצרה כאן הוצאה תוספתית אמיתית כתוצאה מצריכת שירות וכיו״ב), התקנים המתירים</t>
  </si>
  <si>
    <t>הערכה מחדש, גם מאפשרים (לא מחייבים) ״הפשרה״ או ״העברה הדרגתית״ של חלק מקרן ההערכה לעודפים</t>
  </si>
  <si>
    <t xml:space="preserve">ובכך לתקן ״עיוות״ זה. </t>
  </si>
  <si>
    <t>יתרת קרן הערכה 31.12.2012:</t>
  </si>
  <si>
    <t>יתרת אורך חיים 31.12.2012:</t>
  </si>
  <si>
    <t>העברת קרן הערכה לעודפים ב-2013:</t>
  </si>
  <si>
    <t xml:space="preserve">14,500 / 9.5 = </t>
  </si>
  <si>
    <t>חובה קרן הערכה מחדש</t>
  </si>
  <si>
    <t>זכות עודפים</t>
  </si>
  <si>
    <t>פקודת יומן - איפוס הפחתה נצברת ב-2013:</t>
  </si>
  <si>
    <t>ערב האיפוס</t>
  </si>
  <si>
    <t>לאחר האיפוס - ערב השערוך</t>
  </si>
  <si>
    <t>זכות רישיון - נב״מ</t>
  </si>
  <si>
    <t>פקודת יומן - שערוך:</t>
  </si>
  <si>
    <t>לאחר פקודת היומן שמאפסת את ההפחתה הנצברת כנגד העלות, העלות קטנה בגובה זה, כך שמקבלים:</t>
  </si>
  <si>
    <t>ערב השערוך</t>
  </si>
  <si>
    <t xml:space="preserve">195,000 - 20,526 = </t>
  </si>
  <si>
    <t>י״ע כלכלית</t>
  </si>
  <si>
    <t xml:space="preserve">174,474 - 140,000 = </t>
  </si>
  <si>
    <t>יתרת קרן הערכה ערב</t>
  </si>
  <si>
    <t>כל יתר הירידה PN</t>
  </si>
  <si>
    <t>הירידה:</t>
  </si>
  <si>
    <t>תיזקף כנגד הפרשה לירידת ערך / לרווח והפסד</t>
  </si>
  <si>
    <t xml:space="preserve">14,500 - 1,526 = </t>
  </si>
  <si>
    <t xml:space="preserve">34,474 - 12,974 = </t>
  </si>
  <si>
    <t>תקרה שתוכר כנגד הקרן</t>
  </si>
  <si>
    <t>ברווח / הפסד כולל אחר</t>
  </si>
  <si>
    <t>ח׳ קרן הערכה מחדש</t>
  </si>
  <si>
    <t>ח׳ הפסד מי״ע</t>
  </si>
  <si>
    <t>ז׳ רישיון (נב״מ)</t>
  </si>
  <si>
    <t>ז׳ הפרשה לי״ע</t>
  </si>
  <si>
    <t>הפעולות שעלינו לתעד בשנת 2014 הן:</t>
  </si>
  <si>
    <t>פקודת יומן - הוצאות הפחתה - 2014</t>
  </si>
  <si>
    <t>ערך ספרים לאחר שערוך אחרון</t>
  </si>
  <si>
    <t>יתרת אורך החיים ערב השערוך</t>
  </si>
  <si>
    <t xml:space="preserve">140,000 / 8.5 = </t>
  </si>
  <si>
    <t>פקודת יומן - הפחתת הפרשה לי״ע - 2014</t>
  </si>
  <si>
    <t>בעת שמתקיימת הפרשה לירידת ערך, הרי שבתקופות העוקבות היא תופחת כנגד הגדלת ההפחתה הנצברת.</t>
  </si>
  <si>
    <t>הפרשה</t>
  </si>
  <si>
    <t>יתרת אורך חיים</t>
  </si>
  <si>
    <t>הפחתת ההפרשה כנגד הפחתה נצברת</t>
  </si>
  <si>
    <t xml:space="preserve">21,500 / 8.5 = </t>
  </si>
  <si>
    <t>חובה הפרשה לי״ע</t>
  </si>
  <si>
    <t>מטרת תיעוד השינויים בהפרשה לירידת ערך היא בעיקר כדי שנוכל להגיע לחשבון המתעדכן תדיר</t>
  </si>
  <si>
    <t>ובכל נקודת זמן מייצג את תקרת עליית הערך שניתן להכיר בה כנגד רווח והפסד. כי כל עליית הערך</t>
  </si>
  <si>
    <t>עד לסכום יתרת ההפרשה תיזקף לרווח והפסד, וכל עלייה עוקבת תזקף לקרן הון.</t>
  </si>
  <si>
    <t xml:space="preserve">21,500 - 2,529 = </t>
  </si>
  <si>
    <t>פקודת יומן - איפוס הפחתה נצברת - 2014 - הכנה לשערוך</t>
  </si>
  <si>
    <t>פקודת יומן - הערכה מחדש / שערוך 2014:</t>
  </si>
  <si>
    <t>עליית ערך כלכלית</t>
  </si>
  <si>
    <t>ככל שקיימת יתרת הפרשה</t>
  </si>
  <si>
    <t xml:space="preserve">כל עליית ערך נוספת ככל שקיימת PN </t>
  </si>
  <si>
    <t>לירידת ערך, כל עלייה</t>
  </si>
  <si>
    <t xml:space="preserve">תיזקף במישרין לקרן הערכה מחדש </t>
  </si>
  <si>
    <t>עד לאיפוסה תוכר כרווח.</t>
  </si>
  <si>
    <t>בהון העצמי קרי תוכר ברווח כולל אחר:</t>
  </si>
  <si>
    <t>כאן:</t>
  </si>
  <si>
    <t xml:space="preserve">31,471 - 18,971 = </t>
  </si>
  <si>
    <t>חובה רישיון נב״מ</t>
  </si>
  <si>
    <t>זכות רווח מע״ע</t>
  </si>
  <si>
    <t>שנת 2015</t>
  </si>
  <si>
    <t>פעולות המדידה הן כדלקמן:</t>
  </si>
  <si>
    <t>א. הוצאות הפחתה על פני יתרת אורך החיים.</t>
  </si>
  <si>
    <t xml:space="preserve">ב. הפחתה שיטתית של קרן ההערכה מחדש כנגד העודפים. </t>
  </si>
  <si>
    <t>ג. לכאורה, נדרש לבצע הערכה מחדש - אלא שכפי שהסביר ווארד בשיעור קודם - לא ניתן ליישם מודל זה לגבי נבמ״ים</t>
  </si>
  <si>
    <t>בהיעדר שוק פעיל. הפסקת מסחר בשוק המשני (שוק הקונים והמוכרים) בהגדרה משמעה יציאה מגדר שוק פעיל.</t>
  </si>
  <si>
    <t xml:space="preserve">נשתמש בערך האחרון שנקבע בתור בסיס עלות חדש לצורך החישובים העוקבים. </t>
  </si>
  <si>
    <t>ד. בהתאם להנחיות IAS 38, הפסקת המסחר בשוק פעיל מהווה סממן שעשוי להעיד על הצורך בביצוע הפרשה לירידת</t>
  </si>
  <si>
    <t>ערך. לכן, נצטרך גם לחשב את הסכום בר ההשבה, לבחון את ההטבות הצפויות ולהתאים ערך הנכס בהתאם.</t>
  </si>
  <si>
    <t>פקודת יומן - הוצאות הפחתה על פני יתרת אורך החיים - 2015</t>
  </si>
  <si>
    <t xml:space="preserve">155,000 / 7.5 = </t>
  </si>
  <si>
    <t>פקודת יומן - הפחתת קרן הערכה מחדש על פני יתרת אורך החיים - 2015</t>
  </si>
  <si>
    <t xml:space="preserve">12,500 / 7.5 = </t>
  </si>
  <si>
    <t>התייחסות מפורשת לאובדן הסחרות בשוק פעיל - ובחינת הצורך בהפרשה לי״ע - 2015</t>
  </si>
  <si>
    <t>לכאורה נדרש לבצע הערכה מחדש כעת.</t>
  </si>
  <si>
    <t xml:space="preserve">השינוי יתבצע פרוספקטיבית, מכאן ולהבא - ולא כתיקון רטרואקטיבי. </t>
  </si>
  <si>
    <t>בנוסף, קובע IAS 38 כי העובדה ששוק פעיל חדל מלהתקיים, מהווה בפני עצמה סממן לירידת ערך פוטנציאלית,</t>
  </si>
  <si>
    <t xml:space="preserve">ולכן יש לבחון את הצורך בביצוע הפרשה לי״ע לפי הנחיות IAS 36 וחישוב הסכום בר ההשבה. </t>
  </si>
  <si>
    <t>ש״ח</t>
  </si>
  <si>
    <t>רישיון - נב״מ</t>
  </si>
  <si>
    <t>איך נבדוק האם קיים צורך בביצוע הפרשה לירידת ערך?</t>
  </si>
  <si>
    <t>א. שווי הוגן בניכוי עלויות מכירה: אין כאן ולא ניתן להערכה.</t>
  </si>
  <si>
    <t>ב. שווי שימוש נטו - הערך המהוון (pv) של תזרימי המזומנים הנקיים הצפויים שנותרו לביצוע.</t>
  </si>
  <si>
    <t>לפי הנתון:</t>
  </si>
  <si>
    <t>בתום שנת 2015, מעריכה החברה כי תזרימי המזומנים נטו הצפויים מהשימוש ברישיון יעמדו על כ-2,400 ש״ח לחודש.</t>
  </si>
  <si>
    <t>rate</t>
  </si>
  <si>
    <t>nper</t>
  </si>
  <si>
    <t>pmt</t>
  </si>
  <si>
    <t>pv</t>
  </si>
  <si>
    <t>fv</t>
  </si>
  <si>
    <t>לכן, הסכום בר ההשבה:</t>
  </si>
  <si>
    <t>ערך הספרים ערב הבדיקה:</t>
  </si>
  <si>
    <t>ירידת ערך כלכלית:</t>
  </si>
  <si>
    <t xml:space="preserve">134,333 - 129,556 = </t>
  </si>
  <si>
    <t>למרות שעברנו למודל העלות, קרן ההערכה מחדש שנותרה ערב המעבר תמשיך לספוג הפרשים לפי הצורך הנובעים</t>
  </si>
  <si>
    <t xml:space="preserve">מקיטון בשווי. </t>
  </si>
  <si>
    <t xml:space="preserve">חובה קרן הערכה </t>
  </si>
  <si>
    <t>זכות רישיון נבמ</t>
  </si>
  <si>
    <t>ו. ככל שנספיק: שאלה כמותית גדולה בנושאים: נב״מ והערכה מחדש לצד קרן הערכה המופחתת לעודפים</t>
  </si>
  <si>
    <t xml:space="preserve">   בקצב הפחת וסוגיית רכישה נדחית.</t>
  </si>
  <si>
    <t xml:space="preserve">דיברנו על האתגר בהכרה בנב״מ, והצורך במבחני זיהוי ושליטה. </t>
  </si>
  <si>
    <t>דנו באופן שבו נקבעת העלות של הנב״מ לרבות עסקאות החלפה בעסקאות רכישה נפרדת.</t>
  </si>
  <si>
    <t>עסקנו גם בקטנה באתגר של נבמ״ים בייצור עצמי, ובמובני מדידה - הצגנו את בסיסי המדידה: ״עלות״ ו״הע. מחדש״.</t>
  </si>
  <si>
    <t>בעברית: במקרים רבים, דנו בכך שנכסי מחקר ופיתוח למשל (כגון מחקר ובהמשך בנייה של אב-טיפוס) לא מאפשרים</t>
  </si>
  <si>
    <t>להכיר בנכס אלא רק בהוצאה עד שלב ״מתקדם מאד״. התקן קובע שאמנם הנכס יוכר לראשונה בעלות שהתקן</t>
  </si>
  <si>
    <t>מכיר בה, בתקופות עוקבות - אם קיים שוק פעיל לנכס, ומחליטים למדוד אותו לפי הערכה מחדש, המדידה תחול</t>
  </si>
  <si>
    <t xml:space="preserve">על הנכס כולו. </t>
  </si>
  <si>
    <t>בעברית: ככל ששווי הנב״מ תנודתי יותר יש לבצע שערוכים בתדירות גבוהה יותר.</t>
  </si>
  <si>
    <t>עשויה להעיד על צורך בבדיקת הפרשה לירידת ערך.</t>
  </si>
  <si>
    <r>
      <t xml:space="preserve">ואם הוא מוגדר, </t>
    </r>
    <r>
      <rPr>
        <sz val="12"/>
        <color rgb="FFFF0000"/>
        <rFont val="David"/>
      </rPr>
      <t>הישות תעריך את משך התקופה או מספר יחידות הייצור או מספר יחידות דומות</t>
    </r>
    <r>
      <rPr>
        <sz val="12"/>
        <color theme="1"/>
        <rFont val="David"/>
      </rPr>
      <t xml:space="preserve"> המהוות</t>
    </r>
  </si>
  <si>
    <t>פרויקטים שבוצעו ב-2020 - נתון:</t>
  </si>
  <si>
    <t>עלות - נתונה</t>
  </si>
  <si>
    <t>תיק לקוחות - מס׳ לקוחות - נתון:</t>
  </si>
  <si>
    <t xml:space="preserve">20 * 4 = </t>
  </si>
  <si>
    <t>צפי היקף ביצוע - פרויקטים ללקוח:</t>
  </si>
  <si>
    <t>הואיל ומדובר ברכישה של נב״מ, והואיל ואף נרשם מפורשות שהתנאים להכרה בנכס הבשילו (התקיימו) ב-1.1.2020:</t>
  </si>
  <si>
    <t>בעברית: ״אם רכשתי נב״מ כגון זיכיון ל-3 שנים, כמובן שאורך חייו לא יעלה על 3 שנים״</t>
  </si>
  <si>
    <t>אם רכשתי זיכיון ל-3 שנים שאפשר לחדש לנצח בתום כל 3 שנים בעלות נמוכה מאד אזי בהחלט ייתכן שאורך החיים</t>
  </si>
  <si>
    <t xml:space="preserve">יכלול גם את תקופת החידוש. </t>
  </si>
  <si>
    <t>Apple</t>
  </si>
  <si>
    <t>Authorized</t>
  </si>
  <si>
    <t>Reseller</t>
  </si>
  <si>
    <t>Shayke</t>
  </si>
  <si>
    <t xml:space="preserve">הבהרה: הכוונה ב״נכס״ היא רישיון השיווק שרכש שי. </t>
  </si>
  <si>
    <r>
      <t>לאורך חיים בלתי מוגדר - אלא רק לתקופת חוזה אחת (</t>
    </r>
    <r>
      <rPr>
        <b/>
        <sz val="12"/>
        <color theme="1"/>
        <rFont val="David"/>
      </rPr>
      <t>סופי, שנה</t>
    </r>
    <r>
      <rPr>
        <sz val="12"/>
        <color theme="1"/>
        <rFont val="David"/>
      </rPr>
      <t>).</t>
    </r>
  </si>
  <si>
    <t>שימו לב: שילמנו בעד הפריט 200,000 ש״ח אך כזכור, 10,000 מתוך סכום זה - אלו הן הוצאות מימון.</t>
  </si>
  <si>
    <r>
      <t>(</t>
    </r>
    <r>
      <rPr>
        <sz val="12"/>
        <color rgb="FFFF0000"/>
        <rFont val="David"/>
      </rPr>
      <t>190,000</t>
    </r>
    <r>
      <rPr>
        <sz val="12"/>
        <rFont val="David"/>
      </rPr>
      <t xml:space="preserve"> / 10) * 6/12 = </t>
    </r>
  </si>
  <si>
    <t>נתון בשאלה</t>
  </si>
  <si>
    <t>הרווח הכולל האחר (לא רווח והפסד) כלומר נזקוף אותו בשלמותו לקרן הון מהערכה מחדש.</t>
  </si>
  <si>
    <t>בסך הכל 10 שנים, נרכש ב-1.7.2012</t>
  </si>
  <si>
    <t>הפחתה לשנה שלמה (גרט / שייר אפס):</t>
  </si>
  <si>
    <t>פקודת איפוס קרן</t>
  </si>
  <si>
    <t>פקודת הפסד מירידת ערך והפרשה</t>
  </si>
  <si>
    <t>תרגול כמותי אינטנסיבי מקיף (הרצאה מרכזית):</t>
  </si>
  <si>
    <t>נכס בעל אורך חיים בלתי מוגדר.</t>
  </si>
  <si>
    <t>שינוי לאורך חיים מוגדר וחזרה.</t>
  </si>
  <si>
    <t xml:space="preserve">התרגיל יוצג באופן הדרגתי תוך כדי השיעור לאור מורכבותו, ולאחר מכן נפעל לפתרונו יחד בהדרגה ותוך חזרה </t>
  </si>
  <si>
    <t>על סוגיות ודגשים נבחרים. הדגש יהיה על למידה שיטתית ודיון והסברים ולא על הספק, לכן ייתכן ומשך הפתרון</t>
  </si>
  <si>
    <t>של התרגיל יהיה יותר ממפגש אחד.</t>
  </si>
  <si>
    <t>תרגיל מרכזי - חברת ״מקבוקים״ - נב״מ - IAS 38</t>
  </si>
  <si>
    <t>חברת ״מקבוקים״ בע״מ (להלן: ״החברה״) עוסקת בהפצת מחשבי מקבוק ומכונות לחימום נקניק.</t>
  </si>
  <si>
    <t xml:space="preserve">לאחרונה רכשה החברה זיכיון לייבוא רשמי של מוצרי Apple. </t>
  </si>
  <si>
    <t>הזיכיון אשר נרכש מקיים את מבחני ההכרה שנקבעו ב - IAS 38 לעניין נכסים בלתי מוחשיים.</t>
  </si>
  <si>
    <t>העלות ששולמה במזומן בעד הזיכיון הסתכמה בשלב ראשון ב-300,000 ש״ח. הרכישה בוצעה ב-1.1.2006. מיד לאחר</t>
  </si>
  <si>
    <t>הרכישה, שילמה החברה שכר טרחת עורכי דין בגין פעילות משפטית וייעוץ נלווה הקשור במישרין לחתימה על הזיכיון</t>
  </si>
  <si>
    <t>בסכום עלות נוספת של 60,000 ש״ח.</t>
  </si>
  <si>
    <t xml:space="preserve">תקופת הזיכיון היא 8 שנים אך ניתן לחדשו ללא עלות משמעותית בכל 8 שנים. ידוע כי החברה מתכוונת לחדש את </t>
  </si>
  <si>
    <t>הזיכיון וקיימות ראיות כי הוא יניב לה הטבות כלכליות בעתיד הנראה לעין ולתקופה בלתי מוגבלת.</t>
  </si>
  <si>
    <t>ב-1.1.2008 החליטה החברה על אי חידוש הזיכיון מטעמים כלכליים, שהעיבו על התחזיות העסקיות של ההטבות</t>
  </si>
  <si>
    <t>הכלכליות הצפויות לנבוע מהזיכיון כאמור.</t>
  </si>
  <si>
    <t xml:space="preserve">מ-31.12.2008 חדל הזיכיון הנ״ל מלהסחר בשוק פעיל (הניחו שבתאריך כשלעצמו עדיין התקיים שוק פעיל, אך </t>
  </si>
  <si>
    <t>זה היה היום האחרון לקיומו).</t>
  </si>
  <si>
    <t xml:space="preserve">ב-2009 החל שיפור בביקושים למוצרי אפל. </t>
  </si>
  <si>
    <t>ב-2010 השתפר הביקוש עוד יותר וחזר להתקיים שוק פעיל בתחום הזיכיונות הנ״ל.</t>
  </si>
  <si>
    <t>להלן השווי ההוגן והסכום בר ההשבה של הזיכיון למועדים שונים:</t>
  </si>
  <si>
    <t>שווי הוגן (*)</t>
  </si>
  <si>
    <t>סב״ה (**)</t>
  </si>
  <si>
    <t>הניחו כי במידה וקיים שוק פעיל השווי ההוגן מחושב לפיו. בהיעדר שוק פעיל, השווי ההוגן</t>
  </si>
  <si>
    <t>המוצג בטבלה נאמד לפי מודל כלכלי אחר. ב-31.12.2008 התקיים שוק פעיל.</t>
  </si>
  <si>
    <t>(**)</t>
  </si>
  <si>
    <t>לאור השינויים השינויים התכופים במצב השוק, חושב סב״ה ע״י החברה בתום כל שנת כספים.</t>
  </si>
  <si>
    <t xml:space="preserve">א. החברה מודדת נב״מ לפי מודל הערכה מחדש על פי הנחיות IAS 38. </t>
  </si>
  <si>
    <t>ד. החברה נוהגת להעריך את הנבמ״ים שברשותה מחדש על בסיס שנתי.</t>
  </si>
  <si>
    <t>שנת 2006</t>
  </si>
  <si>
    <t>ראשית, עלינו להכיר בעלות הזיכיון כנכס. עלות זו תכלול כמובן את שכר טרחת עורך הדין, שהוא חלק מהעלויות</t>
  </si>
  <si>
    <t>ח׳ זיכיון (נב״מ)</t>
  </si>
  <si>
    <t xml:space="preserve">300,000 + 60,000 = </t>
  </si>
  <si>
    <t>ז׳ מזומן</t>
  </si>
  <si>
    <t>הכרה בעליית ערך וקרן הערכה מחדש</t>
  </si>
  <si>
    <t>הואיל ואין הפחתה שיטתית כרגע, ערך הספרים הבסיסי לתום 2006 לפני בדיקת הצורך בהפרשה לי״ע</t>
  </si>
  <si>
    <t>הוא למעשה העלות:</t>
  </si>
  <si>
    <t>ע״ע כלכלית</t>
  </si>
  <si>
    <t>ערך הספרים, הרי שהואיל והסב״ה גבוה מהותית גם מערך הספרים וגם מהשווי ההוגן, ברור שאין</t>
  </si>
  <si>
    <t>לו השפעה כלשהי על תהליך המדידה. אם הסב״ה היה נמוך מערך הספרים - היה עלינו להכיר בהפרשה</t>
  </si>
  <si>
    <t xml:space="preserve">להפסד. </t>
  </si>
  <si>
    <t>כלומר: נכס בעל אורך חיים מוגדר = רק בהתקיים סממנים לירידת ערך בוחנים סב״ה.</t>
  </si>
  <si>
    <t>ז׳ קרן הערכה מחדש</t>
  </si>
  <si>
    <t>התייחסות להשפעת המס של שערוך הנכס כלפי מעלה</t>
  </si>
  <si>
    <t xml:space="preserve">על פי נתוני השאלה, רשות המסים מודדת את הנכס לפי מודל העלות של IAS 38. </t>
  </si>
  <si>
    <t>לעומת זאת, בפועל חשבונאית נמדד הנכס לפי הערכה מחדש, וכמובן שהדבר לגיטימי בהינתן</t>
  </si>
  <si>
    <t xml:space="preserve">קיומו של שוק פעיל לגבי הנכס למועד השערוך 31/12/2006. </t>
  </si>
  <si>
    <t>לפיכך, בהגדרה, קיים הפרש זמני בין ערך הנכס החשבונאי בספרים, לבין ערכו מנקודת ראות רשות המסים.</t>
  </si>
  <si>
    <t>הואיל וההפרש הזה נובע אך ורק מקרן הערכה מחדש, יש לקזז את השפעת המס מהקרן.</t>
  </si>
  <si>
    <t>בסיס המס</t>
  </si>
  <si>
    <t>שיעור המס</t>
  </si>
  <si>
    <t>כאשר המקור להתחייבות למסים נדחים הוא הערכה מחדש שיצרה קרן הון, השפעת המס תקוזז מקרן</t>
  </si>
  <si>
    <t>ההון ולא תירשם כהוצאות מס:</t>
  </si>
  <si>
    <t>ז׳ התחייבות למסים נדחים</t>
  </si>
  <si>
    <t>מיני טבלה מסכמת</t>
  </si>
  <si>
    <t>נב״מ - זיכיון</t>
  </si>
  <si>
    <t>ק. הערכה</t>
  </si>
  <si>
    <t xml:space="preserve">60,000 - 18,000 = </t>
  </si>
  <si>
    <t>הת׳ למ״נ</t>
  </si>
  <si>
    <t>שנת 2007</t>
  </si>
  <si>
    <t>בשנה זו ממשיכים לפעול לפי אותו המנגנון.</t>
  </si>
  <si>
    <t>גם בשנה זו, אורך החיים ממשיך להיות בלתי מוגדר, ולכן, אין לבצע רישום שיטתי כלשהו של הוצאות הפחתה.</t>
  </si>
  <si>
    <t>שנית, הואיל ואכן אורך החיים בלתי מוגדר, יש לבחון גם בשנה זו את הצורך בביצוע הפרשה לי״ע בהתאם לסב״ה.</t>
  </si>
  <si>
    <t>אלא שעל פי נתוני השאלה, בדומה לשנה קודמת, הסב״ה עודנו גבוה מהשווי ההוגן, ולכן אין שום סיבה מיוחדת</t>
  </si>
  <si>
    <t xml:space="preserve">לבצע הפרשה לירידת ערך על פי סכומו. </t>
  </si>
  <si>
    <t xml:space="preserve">השוק הפעיל ממשיך להתקיים בשנה זו, ולכן ניתן להמשיך ולבצע שערוכים לשווי הוגן. </t>
  </si>
  <si>
    <t>עליית ערך וקרן הערכה מחדש</t>
  </si>
  <si>
    <t>כי לא נרשמו הוצאות הפחתה (אורך חיים בלתי מוגדר)</t>
  </si>
  <si>
    <t>סוגיית המסים הנדחים</t>
  </si>
  <si>
    <t>כפי שהציע רז, גם במקרה זה, עליית הערך כולה היא כנגד קרן הערכה מחדש. ולכן, גם במקרה זה, השפעת ההתחייבות</t>
  </si>
  <si>
    <t>למסים נדחים (הגידול) ייזקף כנגד קיזוז בקרן ההערכה מחדש. יחד עם זאת, נראה בהמשך - כי במקרים מורכבים יותר,</t>
  </si>
  <si>
    <t xml:space="preserve">30,000 * 30% = </t>
  </si>
  <si>
    <t>פירוט מלא:</t>
  </si>
  <si>
    <t>ספרים</t>
  </si>
  <si>
    <t>ה״ז חייב</t>
  </si>
  <si>
    <t>הגידול הנדרש לתיעוד בהתחייבות למסים נדחים</t>
  </si>
  <si>
    <t>הוא לפי ההפרש: 9,000</t>
  </si>
  <si>
    <t>כל הגידול בהפרש נובע מהגדלת קרן הערכה מחדש</t>
  </si>
  <si>
    <t>ולכן יקוזז כנגדה.</t>
  </si>
  <si>
    <t xml:space="preserve">42,000 + 30,000 - 9,000 = </t>
  </si>
  <si>
    <t>שנת 2008</t>
  </si>
  <si>
    <t>אי חידוש חוזה - שינוי מאורך חיים בלתי מוגדר למוגדר ומשמעותו</t>
  </si>
  <si>
    <r>
      <t xml:space="preserve">ב-1.1.2008 החליטה החברה על </t>
    </r>
    <r>
      <rPr>
        <u/>
        <sz val="12"/>
        <color theme="1"/>
        <rFont val="David"/>
      </rPr>
      <t>אי חידוש הזיכיון</t>
    </r>
    <r>
      <rPr>
        <sz val="12"/>
        <color theme="1"/>
        <rFont val="David"/>
      </rPr>
      <t>. מהטעם הזה, חדלים ומיד באותה נקודת זמן מלהתייחס לנכס כבעל</t>
    </r>
  </si>
  <si>
    <t>אורך חיים בלתי מוגדר.</t>
  </si>
  <si>
    <t xml:space="preserve">שינוי שכזה (מעבר מאורך חיים בלתי מוגדר למוגדר בנב״מ) יטופל פרוספקטיבית (ממועד השינוי קדימה). </t>
  </si>
  <si>
    <t xml:space="preserve">הזיכיון באופן כללי הוא לתקופה של 8 שנים ביחס לרגע חתימתו 1.1.2006. </t>
  </si>
  <si>
    <t>חלפו עד תחילת 2008 - שנתיים מתוך חיי זיכיון זה (2006 ו-2007). ולכן, יתרת אורך החיים של הזיכיון לצורך רישום</t>
  </si>
  <si>
    <t xml:space="preserve">הוצאות הפחתה ממועד שינוי זה ואילך יתבססו על יתרת אורך החיים של 6 שנים = 2 - 8. </t>
  </si>
  <si>
    <t>בנוסף, עצם ההחלטה על אי חידוש הזיכיון בנסיבות הנתונות עשויה להעיד על הצורך בביצוע הפרשה לירידת ערך</t>
  </si>
  <si>
    <t>על פי סב״ה. אך בהיעדר נתוני סב״ה, והראיות הספציפיות ל-31.12.2007 (הכי קרוב שיש) שאינן מעידות על ירידת ערך,</t>
  </si>
  <si>
    <t>אין צורך גם כאן לבצע פעולה חישובית בהקשר לסב״ה במועד זה.</t>
  </si>
  <si>
    <t>כלומר: במקרה זה, עיקר השפעת השינוי מנקודת התרחשותו 1.1.2008 ״קדימה״ היא ברישום הוצאות הפחתה, לאור</t>
  </si>
  <si>
    <t>קיום אורך החיים המוגדר (של 6 שנים).</t>
  </si>
  <si>
    <t>פקודת הפחתה - כיאה לכל נב״מ בעל אורך חיים מוגדר</t>
  </si>
  <si>
    <t>הוצ׳ הפחתה - 2008 תחושבנה כדלקמן:</t>
  </si>
  <si>
    <t>ח׳ הוצאות הפחתה</t>
  </si>
  <si>
    <t xml:space="preserve">450,000 / 6 = </t>
  </si>
  <si>
    <t>ז׳ הפחתה נצברת</t>
  </si>
  <si>
    <t>יתרת אורך</t>
  </si>
  <si>
    <t>ערך ספרים במועד שערוך אחרון</t>
  </si>
  <si>
    <t>החיים</t>
  </si>
  <si>
    <t>קרי ה-31/12/2007</t>
  </si>
  <si>
    <t>ממועד השינוי</t>
  </si>
  <si>
    <t>שהוא 1.1.08</t>
  </si>
  <si>
    <t>עד תום החוזה</t>
  </si>
  <si>
    <t>פקודת הפחתת קרן הערכה מחדש - כיאה לכל נב״מ בעל אורך חיים מוגדר, בהתקיים קרן הערכה מחדש</t>
  </si>
  <si>
    <t>בשנים הקודמות, אורך החיים של הנכס היה בלתי מוגדר. ולכן, בשנים קודמות, לא נרשמו הוצאות הפחתה.</t>
  </si>
  <si>
    <t>בהתאם, הואיל ולא היתה הפחתה - גם אין הפחתה של קרן ההערכה מחדש.</t>
  </si>
  <si>
    <t>לעומת זאת, בשנת 2008, לאור השינוי לאורך חיים מוגדר - חובה על פי נתוני השאלה להפחית שיטתית</t>
  </si>
  <si>
    <t>גם את קרן ההערכה מחדש בקצב ההפחתה.</t>
  </si>
  <si>
    <t xml:space="preserve">63,000 / 6 = </t>
  </si>
  <si>
    <t>ז׳ עודפים</t>
  </si>
  <si>
    <t>ערך ספרים של יתרת</t>
  </si>
  <si>
    <t>קרן הערכה מחדש למועד</t>
  </si>
  <si>
    <t>השערוך האחרון - 31/12/2007</t>
  </si>
  <si>
    <t>הערכה מחדש לסוף השנה - איפוס הפחתה נצברת - לפני השערוך ״הכנה לשערוך״</t>
  </si>
  <si>
    <t>על פי נתוני השאלה, ב-31.12.2008 (ערב הדיווח), עדיין התקיים שוק פעיל. לאור זאת, עדיין ניתן להתבסס</t>
  </si>
  <si>
    <t>על הנתונים בדבר השווי ההוגן לשם ביצוע שערוך. כמובן, זה יהיה ה״שערוך האחרון״.</t>
  </si>
  <si>
    <t>בשנים קודמות, כשאורך החיים היה בלתי מוגדר, לא היתה הפחתה, ולכן לא היתה הפחתה נצברת לאיפוס</t>
  </si>
  <si>
    <t>ערב השערוך. כעת - יש.</t>
  </si>
  <si>
    <t>ח׳ הפחתה נצברת</t>
  </si>
  <si>
    <t>לפני איפוס הפחת נצברת</t>
  </si>
  <si>
    <t>לאחר איפוס הפחתה נצברת</t>
  </si>
  <si>
    <t>זיכיון</t>
  </si>
  <si>
    <t>הפחתה נצ׳</t>
  </si>
  <si>
    <t>שערוך על בסיס שווי הוגן (בהמשך תבוצע גם בדיקת י״ע)</t>
  </si>
  <si>
    <t>הואיל וקרן ההערכה מחדש ״מספיק גדולה״ כדי לזקוף לתוכה את ירידת הערך הכלכלית, לא נפתח הפרשה</t>
  </si>
  <si>
    <t>להפסד ולא נכיר ברווח והפסד בהוצאה הנובעת מירידת ערך.</t>
  </si>
  <si>
    <t>ז׳ זיכיון - נב״מ</t>
  </si>
  <si>
    <t>הפסקת מסחר בשוק פעיל ״מהשנה הבאה״ - בתור סממן לירידת ערך וחישוב סב״ה</t>
  </si>
  <si>
    <t>ככלל, ההתייחסות לסב״ה ובחינת הצורך בביצוע הפרשה לירידת ערך תתרחש באחד מבין המקרים הבאים:</t>
  </si>
  <si>
    <t>א. מדובר בנכס בעל אורך חיים מוגדר, ומתקיימים סממנים לירידת ערך (קורה כאן).</t>
  </si>
  <si>
    <t>ב. מדובר בנכס בעל אורך חיים בלתי מוגדר, ואז נבחן סב״ה על בסיס שנתי.</t>
  </si>
  <si>
    <t xml:space="preserve">איזה סממן מתקיים כאן לירידת ערך פוטנציאלית? העובדה שהחל מ-1.1.2009 ייסגר השוק הפעיל. </t>
  </si>
  <si>
    <t>זיכיון - נב״מ</t>
  </si>
  <si>
    <t>סב״ה - נתון בשאלה</t>
  </si>
  <si>
    <t>כנגד קרן הון</t>
  </si>
  <si>
    <t xml:space="preserve">כל היתרה - </t>
  </si>
  <si>
    <t>כנגד הפרשה להפסד</t>
  </si>
  <si>
    <t>הסבר למטה</t>
  </si>
  <si>
    <t>כיצד נדע איזה חלק מירידת הערך הכלכלית הולך לקרן הון, ואיזה חלק להפסד?</t>
  </si>
  <si>
    <t>כאשר יוצרים קרן הערכה - בעקבות שערוך כלפי מעלה, הפקודה הרלוונטית היא לפי סכום העליה / הירידה עצמה.</t>
  </si>
  <si>
    <t>ללא קיזוז מסים. לסוגיית המסים נתייחס רק בסוף השנה לפי ההפרשים הכוללים.</t>
  </si>
  <si>
    <t xml:space="preserve">כלומר: עליה או ירידה בקרן בעקבות שערוכים ושינויי שווי, היא תמיד לפי הסכום ״ברוטו״ כלומר סך העליה או </t>
  </si>
  <si>
    <t xml:space="preserve">הירידה, ללא השפעות מס. </t>
  </si>
  <si>
    <t>השפעות המס אכן משפיעות גם הן על קרן ההון - אך רק בתום התקופה, על בסיס ניתוח ההפרשים הזמניים.</t>
  </si>
  <si>
    <t>הואיל והקרן ל-31/12/2007 כבר משקפת את הקרן נטו אחרי קיזוז מסים;</t>
  </si>
  <si>
    <t>והואיל והמטרה כעת היא לזקוף הפרש ברוטו נוסף כקיטון בקרן;</t>
  </si>
  <si>
    <t>צריך לתקנן תחילה את ערכי הקרן לסכומם ברוטו כדי לדעת כמה ניתן לקזז נגדה בעקבות הירידה.</t>
  </si>
  <si>
    <t>עליה / ירידה בקרן בעקבות שינוי שווי נכס = לפי ערכים ברוטו, לפני השפעת המס.</t>
  </si>
  <si>
    <t>אם יש השפעת מס - כבודה במקומה, אך ההתייחסות בסוף, לפי טבלת המסים.</t>
  </si>
  <si>
    <t>וכעת אצא למסע בעקבות ה״קרן ברוטו״:</t>
  </si>
  <si>
    <t>נכון ליום 31/12/2007, יתרת קרן הערכה מחדש נטו (אחרי קיזוז מסים):</t>
  </si>
  <si>
    <t>כאשר נתקנן ערך זה לסכום ״ברוטו״ (לפני מס) שכנגדו בודקים:</t>
  </si>
  <si>
    <t xml:space="preserve">63,000 / (1 - 30%) = </t>
  </si>
  <si>
    <t>הקטנה בקרן ההערכה כנגד העודפים - ״הפחתת קרן לעודפים״ בתקנון לברוטו</t>
  </si>
  <si>
    <t>הקטנה בעקבות שערוך - ירידת ערך כלכלית במועד השערוך ברוטו</t>
  </si>
  <si>
    <t>יתרת קרן ברוטו שמולה ניתן לזקוף ירידת ערך עד למקסימום של</t>
  </si>
  <si>
    <t>90,000 - 15,000 - 20,000 =</t>
  </si>
  <si>
    <t xml:space="preserve">ח׳ קרן הערכה </t>
  </si>
  <si>
    <t>ז׳ נב״מ</t>
  </si>
  <si>
    <t>זקיפת הירידה לקרן הון</t>
  </si>
  <si>
    <t>זקיפת ירידה נוספת להפרשה להפסד</t>
  </si>
  <si>
    <t>אם המעבר מברוטו לנטו הוא ע״י מכפלה ב-1 פחות המס, המעבר מנטו לברוטו ע״י חלוקה ב-1 פחות המס.</t>
  </si>
  <si>
    <t>סוגיית מסים על ההכנסה</t>
  </si>
  <si>
    <t xml:space="preserve">360,000 - 360,000 / 6 = </t>
  </si>
  <si>
    <r>
      <t xml:space="preserve">ה״ז </t>
    </r>
    <r>
      <rPr>
        <b/>
        <sz val="12"/>
        <color theme="1"/>
        <rFont val="David"/>
      </rPr>
      <t>חייב</t>
    </r>
  </si>
  <si>
    <r>
      <rPr>
        <b/>
        <sz val="12"/>
        <color theme="1"/>
        <rFont val="David"/>
      </rPr>
      <t>הת׳</t>
    </r>
    <r>
      <rPr>
        <sz val="12"/>
        <color theme="1"/>
        <rFont val="David"/>
      </rPr>
      <t xml:space="preserve"> למ״נ</t>
    </r>
  </si>
  <si>
    <r>
      <rPr>
        <b/>
        <sz val="12"/>
        <color theme="1"/>
        <rFont val="David"/>
      </rPr>
      <t>נכס</t>
    </r>
    <r>
      <rPr>
        <sz val="12"/>
        <color theme="1"/>
        <rFont val="David"/>
      </rPr>
      <t xml:space="preserve"> מ״נ</t>
    </r>
  </si>
  <si>
    <t>הואיל ובמקרה זה, חלק מהשינוי במסים הנדחים כנגד הקרן, וחלק מהשינוי</t>
  </si>
  <si>
    <t>כנגד רווח והפסד, גם השפעת המס המתייחסת תחולק לחלקים,</t>
  </si>
  <si>
    <t>חלק כנגד רווח והפסד וחלק כנגד הקרן.</t>
  </si>
  <si>
    <t>פירוט תנועה במס נדחה:</t>
  </si>
  <si>
    <r>
      <t xml:space="preserve">י״פ - </t>
    </r>
    <r>
      <rPr>
        <b/>
        <sz val="12"/>
        <color theme="1"/>
        <rFont val="David"/>
      </rPr>
      <t>התחייבות</t>
    </r>
  </si>
  <si>
    <t>(***)</t>
  </si>
  <si>
    <t>היפוך - הפחתה</t>
  </si>
  <si>
    <t>כנגד רוו״ה</t>
  </si>
  <si>
    <t>(****)</t>
  </si>
  <si>
    <t>איפוס התחייבות למ״נ</t>
  </si>
  <si>
    <t xml:space="preserve">27,000 - 4,500 = </t>
  </si>
  <si>
    <t>כנד קרן הון</t>
  </si>
  <si>
    <t>(*****)</t>
  </si>
  <si>
    <t>יצירת נכס מס נדחה</t>
  </si>
  <si>
    <r>
      <t xml:space="preserve">י״ס - </t>
    </r>
    <r>
      <rPr>
        <b/>
        <sz val="12"/>
        <color theme="1"/>
        <rFont val="David"/>
      </rPr>
      <t>נכס</t>
    </r>
  </si>
  <si>
    <t xml:space="preserve">50,000 * 30% = </t>
  </si>
  <si>
    <t>דרך נוספת להתייחסות ל-4,500 ש״ח - מה זה בכלל?</t>
  </si>
  <si>
    <t>החברה רשמה הוצאות הפחתה בסך:</t>
  </si>
  <si>
    <t>רשות המסים התירה בהפחתה בסך:</t>
  </si>
  <si>
    <t xml:space="preserve">360,000 / 6 = </t>
  </si>
  <si>
    <t>רשות המסים ״מבטלת״ לא מכירה בהוצ׳ פחת של:</t>
  </si>
  <si>
    <t xml:space="preserve">75,000 - 60,000 = </t>
  </si>
  <si>
    <t>ורשות המסים תחייב אותי במס נוסף של:</t>
  </si>
  <si>
    <t xml:space="preserve">15,000 * 30% = </t>
  </si>
  <si>
    <t>הואיל וזהו מס כנגד הוצאות הפחתה ברווח והפסד, גם השפעת המס המתייחס היא תוצאתית.</t>
  </si>
  <si>
    <t xml:space="preserve">אנו יודעים שנכון לתום 2008 אין שום יתרה בקרן ההון. </t>
  </si>
  <si>
    <t>ולכן, בהגדרה - חייבים לאפס את כל שארית הפתיחה של ההתחייבות למסים נדחים</t>
  </si>
  <si>
    <t xml:space="preserve">שנוצרה אך ורק כנגד קרן ההון. </t>
  </si>
  <si>
    <t>מדובר בהפרש נוסף לאיפוס של 22,500 = 4,500 - 27,000</t>
  </si>
  <si>
    <t>תנועה זו בהתחייבות למסים נדחים תירשם כנגד קרן הון - ולא כנגד רווח והפסד.</t>
  </si>
  <si>
    <r>
      <rPr>
        <b/>
        <sz val="12"/>
        <color theme="1"/>
        <rFont val="David"/>
      </rPr>
      <t>כל נכס המס הנדחה</t>
    </r>
    <r>
      <rPr>
        <sz val="12"/>
        <color theme="1"/>
        <rFont val="David"/>
      </rPr>
      <t xml:space="preserve"> נוצר בעקבות הפרשה לירידת ערך שהוכרה כהוצאה ברווח והפסד</t>
    </r>
  </si>
  <si>
    <t>ולכן גם המס המתייחס ייזקף לא רק לנכס מס - אלא לרווח והפסד.</t>
  </si>
  <si>
    <t>פקודת יומן - מתן ביטוי למסים</t>
  </si>
  <si>
    <t>ח׳ התחייבות למסים נדחים</t>
  </si>
  <si>
    <t>מדוע כנגד הוצאה? כי נבע מהפרשי הפחתה</t>
  </si>
  <si>
    <t>ז׳ הכנסות מס נדחה</t>
  </si>
  <si>
    <t>שנזקפו לרווח והפסד.</t>
  </si>
  <si>
    <t>מדוע כנגד קרן? כי נבע מהפרשי שערוך</t>
  </si>
  <si>
    <t>ז׳ קרן הון</t>
  </si>
  <si>
    <t>שנזקפו לקרן.</t>
  </si>
  <si>
    <t>ח׳ נכס מס נדחה</t>
  </si>
  <si>
    <t>מדוע כנגד הכנסה / הוצאה? כי נבע מירידת</t>
  </si>
  <si>
    <t>ערך שנזקפה לרווח והפסד.</t>
  </si>
  <si>
    <t>נכס מ״נ</t>
  </si>
  <si>
    <t>הכנסות מס נדחה, נטו</t>
  </si>
  <si>
    <t xml:space="preserve">4,500 + 15,000 = </t>
  </si>
  <si>
    <t xml:space="preserve">שאורך חייו מוגדר (בשל הפסקת הצפי לחידושי חוזה). </t>
  </si>
  <si>
    <t>לכן, האקט המדידתי הראשון שיבוצע יהיה רישום ״כרגיל״ של הוצאות הפחתה. נכון ל-31.12.2008 יתרת אורך החיים</t>
  </si>
  <si>
    <t>היא 5 שנים:</t>
  </si>
  <si>
    <t xml:space="preserve">250,000 / 5 = </t>
  </si>
  <si>
    <t>ח׳ הפרשה לירידת ערך</t>
  </si>
  <si>
    <t>50,000 / 5 =</t>
  </si>
  <si>
    <t>בנוסף, על פי נתוני השאלה, חל שיפור בביקוש למוצרים הנמכרים באמצעות הזיכיון ב-2009, בהינתן הפוטנציאל לביטול</t>
  </si>
  <si>
    <t xml:space="preserve">עדיין צריך לטפל בירידות / עליות ערך (IAS 36). </t>
  </si>
  <si>
    <t>ערך ספרים עדכני</t>
  </si>
  <si>
    <t xml:space="preserve">250,000 * 4 / 5 = </t>
  </si>
  <si>
    <t>סב״ה - נתון</t>
  </si>
  <si>
    <t xml:space="preserve">50,000 * 4 / 5 = </t>
  </si>
  <si>
    <t>הערת הרחבה: אילו יתרת ההפרשה היתה נמוכה יותר מעליית הערך הכלכלית, היינו מכירים בעלייה רק עד לגובה</t>
  </si>
  <si>
    <t>ההפרשה לכל היותר. הסיבה היא שכזכור לא מדובר פה בשערוך אלא בביטול הפרשה לירידת ערך. שערוך לא יכול</t>
  </si>
  <si>
    <t>להתקיים, כשאין שוק פעיל.</t>
  </si>
  <si>
    <t>ערך ספרים(*)</t>
  </si>
  <si>
    <t xml:space="preserve">360,000 * 4/6 = </t>
  </si>
  <si>
    <t>ה״ז ניתן לניכוי</t>
  </si>
  <si>
    <t xml:space="preserve">ה״ז </t>
  </si>
  <si>
    <t>שיעור מס</t>
  </si>
  <si>
    <t>נכס / הת׳</t>
  </si>
  <si>
    <t>ערך ספרים 31/12/2009</t>
  </si>
  <si>
    <t>קיטון בנכס מס נדחה: 15,000</t>
  </si>
  <si>
    <t>אין קרן הון - ואין שינוי בה - כל השינוי כנגד הוצ׳ מס</t>
  </si>
  <si>
    <t>הפרשה לירידת ערך</t>
  </si>
  <si>
    <t>פקודת יומן:</t>
  </si>
  <si>
    <t>ח׳ הוצאות מס נדחה</t>
  </si>
  <si>
    <t>ז׳ נכס מס נדחה</t>
  </si>
  <si>
    <t>הוצאות מס נדחה</t>
  </si>
  <si>
    <t>שנת 2010</t>
  </si>
  <si>
    <t>בשנה זו, התקיימו סממנים נוספים שעשויים להעיד על עליית ערך, אבל הם כשלעצמם ״פחות מעניינים״ בהינתן</t>
  </si>
  <si>
    <t xml:space="preserve">240,000 / 4 = </t>
  </si>
  <si>
    <t>הואיל וכאמור שוק פעיל חזר להתקיים - נחזיר לתוקף את מודל ההערכה מחדש ונשערך:</t>
  </si>
  <si>
    <t>זיכיון ברוטו</t>
  </si>
  <si>
    <t xml:space="preserve">60,000 + 60,000 = </t>
  </si>
  <si>
    <t>ז׳ זיכיון (נב״מ)</t>
  </si>
  <si>
    <t>פקודת יומן לקרן הערכה מחדש ״ברוטו״ (ללא היבט מס, רק עליה / ירידה ברמה הכלכלית)</t>
  </si>
  <si>
    <t xml:space="preserve">360,000 * 3/6 = </t>
  </si>
  <si>
    <t>ה״ז חייב במס</t>
  </si>
  <si>
    <t>כל ההתחייבות למסים נדחים נוצרה רק כתוצאה מעליית ערך</t>
  </si>
  <si>
    <t>שכולה נזקפה כנגד קרן הון, גם ההתחייבות למסים נדחים</t>
  </si>
  <si>
    <t>תקוזז מקרן ההון ברוטו:</t>
  </si>
  <si>
    <t>ז׳ הת׳ למסים נדחים</t>
  </si>
  <si>
    <t xml:space="preserve">הערך 155,000 ש״ח הוא ערך פריט הנכס הבלתי מוחשי שנקבע במועד השערוך האחרון 31.12.2014. </t>
  </si>
  <si>
    <t>נכון למועד זה (תום 2014) חלפו שנתיים וחצי מתוך 10 שנות החיים של הנכס, לכן ההפחתה לאחר 2014</t>
  </si>
  <si>
    <t xml:space="preserve">תתבצע על פני 7.5 שנים = 2.5 - 10. </t>
  </si>
  <si>
    <t>מבחינת נתוני השאלה - נרשם מפורשות שקרן ההערכה מחדש מופחתת לעודפים בקצב הפחת.</t>
  </si>
  <si>
    <t xml:space="preserve">נכון לתום 2014, הראינו במפגש הקודם שיתרת קרן הערכה היתה 12,500. </t>
  </si>
  <si>
    <t>מבחינת אורך החיים שהוא הבסיס לכימות ההטבות ושווי שימוש נטו, נפעל כך:</t>
  </si>
  <si>
    <t>גובהו של התקבול החודשי נטו - נתון</t>
  </si>
  <si>
    <t>אין תקבול / תשלום חד פעמי בתום התקופה</t>
  </si>
  <si>
    <t>שווי שימוש נטו:</t>
  </si>
  <si>
    <t>סיכום ביניים לסוגיות שנדונו:</t>
  </si>
  <si>
    <t>ג.1. יציאה משוק פעיל מקבעת את ה״עלות״ במועד השערוך האחרון לטובת מדידה בתקופות עוקבות.</t>
  </si>
  <si>
    <t>ג.2. בנוסף, היא דורשת חישוב סכום בר השבה ובחינת הצורך בביצוע הפרשה לירידת ערך.</t>
  </si>
  <si>
    <t>ד. עקרון ההפחתה של קרן ההערכה מחדש לעודפים איננו מחייב ונפעל לגלמו רק כאשר נתון שכך פועלת החברה.</t>
  </si>
  <si>
    <t>אבל: נב״מ בעל אורך חיים בלתי מוגדר = בכל שנה ושנה בוחנים סב״ה, כאן ספציפית הוא היה גבוה ולא העיד על ירידה.</t>
  </si>
  <si>
    <t>רשות המסים פועלת לפי מודל העלות - IAS 38:</t>
  </si>
  <si>
    <t>גם במודל העלות: חשוב לשים לב שמדובר בנכס בעל אורך חיים בלתי מוגדר.</t>
  </si>
  <si>
    <t>אין הפחתה שיטתית של הפריט</t>
  </si>
  <si>
    <t>אבל כן צריך לבחון את הסב״ה</t>
  </si>
  <si>
    <t>לא את השווי ההוגן - שלא שייך למודל עלות</t>
  </si>
  <si>
    <t>ערך ספרים - חשבונאות (משוערך לשווי)</t>
  </si>
  <si>
    <t>בסיס המס - עלות (ללא י״ע כי סב״ה גבוה)</t>
  </si>
  <si>
    <t xml:space="preserve">ה״ז ח״ב (הפרש זמני חייב במס) </t>
  </si>
  <si>
    <t>ההפרש הזמני חייב במס, משום שרשות</t>
  </si>
  <si>
    <t>המסים לא הכירה בעליית הערך כהכנסה,</t>
  </si>
  <si>
    <t>ולא חייבה במס שוטף בגינה, אך בעתיד,</t>
  </si>
  <si>
    <t>במידה ויימכר, יחול חיוב במס בהתאם.</t>
  </si>
  <si>
    <t>שיעור המס - נתון בשאלה וקבוע</t>
  </si>
  <si>
    <t>הת׳ למ״נ - התחייבות למסים נדחים</t>
  </si>
  <si>
    <t>מיני טבלה מסכמת - 2006</t>
  </si>
  <si>
    <t xml:space="preserve">עקרונית: כל אימת שהפריט הנבמ״י הוא בעל אורך חיים בלתי מוגדר, מתקיים הצורך לבחון האם נוצרה ירידת </t>
  </si>
  <si>
    <t>ערך, וזאת על פי סקירת הסב״ה.</t>
  </si>
  <si>
    <t>ספציפית במקרה זה, ברור לנו לחלוטין שהסב״ה (שכל תכליתו היא לבחון האם יש ירידת ערך) לא מעיד על ירידה כזו:</t>
  </si>
  <si>
    <t>סכומו 470,000 ש״ח. והואיל וערך הספרים הקודם היה 420,000, ברור שאין ירידת ערך.</t>
  </si>
  <si>
    <t xml:space="preserve">יחד עם זאת, כנתון - קיים שוק פעיל, והמודל למדידה הוא הערכה מחדש שמבוצעת כל שנה. לכן נבצע שערוך </t>
  </si>
  <si>
    <r>
      <t>ל</t>
    </r>
    <r>
      <rPr>
        <b/>
        <sz val="12"/>
        <color theme="1"/>
        <rFont val="David"/>
      </rPr>
      <t>שווי הוגן</t>
    </r>
    <r>
      <rPr>
        <sz val="12"/>
        <color theme="1"/>
        <rFont val="David"/>
      </rPr>
      <t xml:space="preserve"> (לא לסב״ה). </t>
    </r>
  </si>
  <si>
    <t>שווי הוגן - עדכני</t>
  </si>
  <si>
    <t>ז׳ זיכיון נב״מ</t>
  </si>
  <si>
    <t>לאחר השערוך האחרון לשווי הוגן</t>
  </si>
  <si>
    <t>בסיס המס מופחת לאור אורך החיים</t>
  </si>
  <si>
    <t>שהפך למוגדר (6 שנים לפי 2 - 8)</t>
  </si>
  <si>
    <t>מטרות ויעדים</t>
  </si>
  <si>
    <t>בהינתן האתגר שגלום ביישום אינטגרטיבי של כל הסוגיות והעקרונות שהוצגו ביישום מעשי של מדידת נב״מים,</t>
  </si>
  <si>
    <t>כפי שהוצגו בשיעור 7 ובתחילת שיעור זה, יבוצע כעת תרגול נוסף על ידינו, שמטרתו חידוד המושגים ולאחריהם</t>
  </si>
  <si>
    <t>נבצע גם סיכום אינטגרטיבי של הסוגיות לנוחותכם.</t>
  </si>
  <si>
    <t>רוב הסוגיות הנדונות כאן יהיו דומות לאלו שנדונו בשיעור 7, עם הרחבות מסוימות בפן התיאורטי כפי הצורך,</t>
  </si>
  <si>
    <t xml:space="preserve">הן בשאלה עצמה והסוגיות שהיא מעלה, והן בפן הפתרון. </t>
  </si>
  <si>
    <t>הסוגיות שיידונו הן:</t>
  </si>
  <si>
    <t>עמידה בהגדרת נב״מ.</t>
  </si>
  <si>
    <t>עקרונות להכרה בנב״מ.</t>
  </si>
  <si>
    <t>מסים על ההכנסה - לרבות כנגד קרן הון.</t>
  </si>
  <si>
    <t>מודל הערכה מחדש - לרבות איפוס פחת נצבר והפחתה שיטתית של קרן ההון לעודפים.</t>
  </si>
  <si>
    <t>שוק פעיל, הפסקתו וחזרה אליו, כתנאי ליישום הערכה מחדש, כסממן לירידת ערך ובכלל.</t>
  </si>
  <si>
    <t>תרגיל מרכזי - חברת ״מקבוק פרו״ - IAS 38</t>
  </si>
  <si>
    <t>חברת ״המחשבים הגרועים״ בע״מ רכשה זיכיון רשמי לייבוא, שיווק והפצה של מחשבים ניידים מסדרת המחשבים</t>
  </si>
  <si>
    <t xml:space="preserve">החדשה Macbook Pro של Apple. </t>
  </si>
  <si>
    <t xml:space="preserve">עם החתימה על הסכם רכישת הזיכיון, פנתה החברה לרשות התאגידים </t>
  </si>
  <si>
    <t>והסדירה את שינוי שם החברה לחברת ״המחשבים הטובים״ בע״מ שתיקרא</t>
  </si>
  <si>
    <t xml:space="preserve">בהמשך השאלה ״החברה״ (להלן: ״החברה״). </t>
  </si>
  <si>
    <t>החברה מיישמת את תקני הדיווח הכספי הבינלאומיים ובכללם IAS 38 בדבר</t>
  </si>
  <si>
    <t xml:space="preserve">נכסים בלתי מוחשיים. </t>
  </si>
  <si>
    <t>עלות שינוי שם החברה ברשות התאגידים הסתכמה ב-5,000 ש״ח.</t>
  </si>
  <si>
    <t>עלות רכישת זיכיון ההפצה היא 500,000 ש״ח.</t>
  </si>
  <si>
    <t xml:space="preserve">הרכישה בוצעה ב-1.1.2018 והתשלום בעד הזיכיון יבוצע ב-31.12.2019. </t>
  </si>
  <si>
    <t>ידוע כי מחיר ההון של החברה הוא בשיעור 5% לשנה.</t>
  </si>
  <si>
    <t>הזיכיון הוא לתקופה של 10 שנים, אך ניתן לחדשו ללא עלות משמעותית נוספת ל-10 שנים נוספות (וחוזר חלילה,</t>
  </si>
  <si>
    <t>ללא מגבלה) ובכוונת החברה לנצל זכות חידוש זו בעתיד הנראה לעין.</t>
  </si>
  <si>
    <t xml:space="preserve">לטענת סמנכ״ל השיווק והאסטרטגיה בחברה, נכון ליום 1.1.2018, למרות זמינותו של הזיכיון לשימוש - עדיין לא </t>
  </si>
  <si>
    <t>נוצר צבר הזמנות למקבוקים בחברה ובהתאם, לדבריו, ״אין להכיר בנכס בלתי מוחשי בשלב זה. אני מציע להכיר</t>
  </si>
  <si>
    <t>בכל הסכום כהוצאה באופן מיידי, ואולי בשנה הבאה, אחרי שנדע בדיוק כמה מכרנו השנה, נוכל להשיב חלק</t>
  </si>
  <si>
    <t>מהעלויות שנרשמו בעבר כהוצאה ולמעשה להוון אותן לנכס בלתי מוחשי״.</t>
  </si>
  <si>
    <t>ככלל, מדיניות החברה היא למדוד פריטי נכסים בלתי מוחשיים על בסיס הערכה מחדש ככל שמתאפשר, כאשר תדירות</t>
  </si>
  <si>
    <t>השערוך היא אחת לשנה, קרן ההערכה מחדש מופחתת לעודפים בקצב הפחת, והפחת הנצבר מאופס בכל מועד הערכה</t>
  </si>
  <si>
    <t xml:space="preserve">מחדש. </t>
  </si>
  <si>
    <t>הזיכיון נסחר בשוק פעיל עד וכולל 31.12.2020, אך ביום זה נודע כי החל מ-1.1.2021, שוק פעיל יחדל מלהתקיים.</t>
  </si>
  <si>
    <t>לאור שינויים לרעה בסביבה העסקית נכון ליום 1.1.2020, התקבלה בישיבת ההנהלה הראשית החלטה בדבר אי חידושו</t>
  </si>
  <si>
    <t>של הזיכיון המדובר.</t>
  </si>
  <si>
    <t xml:space="preserve">למרות הפסקת המסחר בשוק לזיכיון זה ב-1.1.2021, במהלך השנה חלה התעוררות ושיפור </t>
  </si>
  <si>
    <t>בביקושים למקבוקים.</t>
  </si>
  <si>
    <t>מסיבה זו ואחרות, חזר להתקיים שוק פעיל ב-2022 לזיכיונות מסוג זה.</t>
  </si>
  <si>
    <t xml:space="preserve">ידוע כי שיעור המס הנוכחי והצפוי בעתיד הוא 23%, והוא יחול על כל סוגי הכנסות החברה. </t>
  </si>
  <si>
    <t>בנוסף ידוע כי החברה מיישמת את הנחיות IAS 12 בדבר מסים על ההכנסה, וכי רשות המסים מודדת את הנכס</t>
  </si>
  <si>
    <t xml:space="preserve">לצרכי מס בהתאם להנחיות מודל העלות הנכללות ב - IAS 38. </t>
  </si>
  <si>
    <t>להלן נתונים בדבר השווי ההוגן והסכום בר ההשבה של הזיכיון לתאריכים שונים:</t>
  </si>
  <si>
    <t>סב״ה</t>
  </si>
  <si>
    <t>א. הציגו פקודות יומן מלאות למתן ביטוי לכלל העסקאות והאירועים בשאלה.</t>
  </si>
  <si>
    <t>ב. הציגו יתרות בחשבונות הבאים לכל אחת מהשנים 2018-2022:</t>
  </si>
  <si>
    <t>זיכיון.</t>
  </si>
  <si>
    <t>הפחתה נצברת.</t>
  </si>
  <si>
    <t>הפרשה לירידת ערך.</t>
  </si>
  <si>
    <t>קרן שערוך (קרן הערכה מחדש).</t>
  </si>
  <si>
    <t>מסים נדחים - התחייבויות או נכסים.</t>
  </si>
  <si>
    <t>הוצאות הפחתה.</t>
  </si>
  <si>
    <t>השפעת מס נדחה על הוצאות מס ברווח והפסד אל מול השפעת מס נדחה כנגד רווח כולל אחר (קרן).</t>
  </si>
  <si>
    <t>פתרון תרגיל מרכזי - חברת ״מקבוק פרו״ - IAS 38</t>
  </si>
  <si>
    <t>שנת 2018</t>
  </si>
  <si>
    <t>ראשית, כמובן שקיימת עמידה במבחני הזיהוי, השליטה והצפי להטבות בהינתן העובדה שמדובר בזיכיון אשר נרכש</t>
  </si>
  <si>
    <t xml:space="preserve">בעסקת רכישה נפרדת. עצם קיומה וביצועה של העסקה בתמורה משמעותית די בה בכדי להעיד על ההטבות הצפויות, </t>
  </si>
  <si>
    <t xml:space="preserve">אלא אם ישנן נסיבות מיוחדות המעידות אחרת. </t>
  </si>
  <si>
    <t xml:space="preserve">או במלים אחרות, טענת הסמנכ״ל ורצונו לזקוף את העלות של הנב״מ להוצאות - אין לה על מה להישען. </t>
  </si>
  <si>
    <t xml:space="preserve">כמובן - שההטבות הגלומות בכל נכס, לא כל שכן נכס בלתי מוחשי - אינן ודאיות. אלא, שכל עוד קיים צפי סביר </t>
  </si>
  <si>
    <t xml:space="preserve">המתבטא ביציאה אל הפועל של עסקת רכישת הזיכיון כאמור, די בכך. ולהרחבה - ראו סעיף 25 ב - IAS 38. </t>
  </si>
  <si>
    <t>דיון בשינוי השם - 1.1.2018 - האם נכס?!</t>
  </si>
  <si>
    <t>בהסכם רכישת הזיכיון עצמו, לא נכללה כל דרישה לשינוי שם החברה ולא ניתן לייחס צפי הטבות מובהק לעצם שינוי</t>
  </si>
  <si>
    <t>השם. לכן, יש לרשום הוצאה רלוונטית בגין עלות שינוי השם כאמור:</t>
  </si>
  <si>
    <t>ח׳ הוצאות - אגרות</t>
  </si>
  <si>
    <t>דיון ברכישת הנב״מ והבסיס הראשוני למדידתו במועד ההכרה - עלותו</t>
  </si>
  <si>
    <t>הרכישה עצמה בוצעה ב-1.1.2018, התמורה הכוללת שנדרשת לתשלום בעד הרכישה בנתוני השאלה מסתכמת</t>
  </si>
  <si>
    <t>לסך של 500,000 ש״ח אך היא תשולם רק בחלוף שנתיים - 31.12.2019. המשמעות היא שיש להוון את הערך הנ״ל,</t>
  </si>
  <si>
    <t>ולהכיר בעלות בתור הערך הנוכחי. על פי נתוני השאלה, מחיר ההון של החברה הוא 5% לשנה ואשר על כן:</t>
  </si>
  <si>
    <t>ח׳ זיכיון - נב״מ</t>
  </si>
  <si>
    <t xml:space="preserve">500,000 / (1 + 5%)^2 = </t>
  </si>
  <si>
    <t>ז׳ התחייבות</t>
  </si>
  <si>
    <t>הפחתת נב״מ ב-2018? לא!</t>
  </si>
  <si>
    <t>כאשר מדובר בנב״מ בעל אורך חיים בלתי מוגדר (נתון בשאלה שעלות חידוש הזכיון היא בלתי משמעותית והחברה</t>
  </si>
  <si>
    <t>מתכננת להמשיך ולחדש) אזי בהגדרה:</t>
  </si>
  <si>
    <t>א. אין רישום הוצאות הפחתה</t>
  </si>
  <si>
    <t>ב. ללא תלות במודל המיושם למדידה (עלות / הערכה מחדש) בוחנים סב״ה (סכום בר השבה) בכל שנה.</t>
  </si>
  <si>
    <t>מבחן שוק פעיל ויישום מודל הערכה מחדש - 31.12.2018</t>
  </si>
  <si>
    <t>לאור קיומו של שוק פעיל נכון ליום 31.12.2018 ובהינתן העובדה שהפריט נמדד לפי הערכה מחדש, והואיל ואין</t>
  </si>
  <si>
    <t>רישום הוצאות פחת (כך שאין צורך לאפס פחת נצבר), הרי שניתן לחשב את עליית הערך או ירידת הערך כדלקמן:</t>
  </si>
  <si>
    <t>בהיעדר נתונים קודמים בדבר קיום הפרשה לי״ע כל העלייה תיזקף לרווח כולל אחר</t>
  </si>
  <si>
    <t>כלומר לקרן הערכה מחדש. בשלב ראשון בסכום ברוטו (התייחסות למס ראו בסוף שנה)</t>
  </si>
  <si>
    <t>נשאלת השאלה - מדוע בשערוך התבססנו על שווי הוגן ולא על נתון הסב״ה?</t>
  </si>
  <si>
    <t>התשובה: מודל הערכה מחדש קובע כי אחת למספר תקופות ישוערך הפריט לשוויו ההוגן (לא לסב״ה שלו).</t>
  </si>
  <si>
    <t>אז מדוע הסב״ה כן מאוזכר ורלוונטי? משום שהוא שימושי לבחינת הצורך בביצוע הפרשה לירידת ערך.</t>
  </si>
  <si>
    <t>בחינה זו יכולה להיות רלוונטית כאשר אורך החיים בלתי מוגדר או כאשר ישנם סממנים לירידת ערך</t>
  </si>
  <si>
    <t>פוטנציאלית.</t>
  </si>
  <si>
    <t>לכאורה תגידו: אבל שי, כאן אורך החיים בלתי מוגדר. למה לא השתמשת בסב״ה לבחינת ירידת ערך?</t>
  </si>
  <si>
    <t>התשובה: הואיל וערכו גבוה מהשווי ההוגן, הרי ברור שהוא לא ייצור ירידה כאמור.</t>
  </si>
  <si>
    <t>קידום ההתחייבות לתשלום כנגד הכרה בהוצאות מימון - 31.12.2018</t>
  </si>
  <si>
    <t>כל אימת שהערך של נכס המוכר במועד ההכרה נקבע לפי ערך מהוון, ונוצרת התחייבות בסכום זה, יש לזכור</t>
  </si>
  <si>
    <t>לשערך את ההתחייבות לתשלום לפי סכומה העדכני, הנקבע לפי הסכום לתשלום - מהוון למועד הדיווח.</t>
  </si>
  <si>
    <t>יתרת התחייבות 1.1.2018</t>
  </si>
  <si>
    <t>יתרת התחייבות 31.12.18</t>
  </si>
  <si>
    <t xml:space="preserve">500,000 / (1 + 5%)^1 = </t>
  </si>
  <si>
    <t>הוצאות מימון - הפרש</t>
  </si>
  <si>
    <t xml:space="preserve">476,190 - 453,515 = </t>
  </si>
  <si>
    <t xml:space="preserve">שימו לב, בשונה מהתרגיל 6 (רישיון לפופקורן) שבו כלל הוצאות המימון הוכרו בשנת ביצוע העסקה, </t>
  </si>
  <si>
    <t>הרי שכאן - ההסדר המימוני הוא לשנתיים (בשאלת הפופקורן ההסדר היה לחצי שנה בלבד). לכן, יש לפרוס</t>
  </si>
  <si>
    <t>הדרגתית את הוצאות המימון על פני השנתיים, כאשר פריסה זו תבוצע באופן שיתייחס בתום כל תקופת</t>
  </si>
  <si>
    <t>דיווח לערך העדכני של ההתחייבות, ביחס ליתרת הפתיחה שלה.</t>
  </si>
  <si>
    <t>ח׳ הוצאות מימון</t>
  </si>
  <si>
    <t>סוגיית המס הנדחה ומקורותיה</t>
  </si>
  <si>
    <t>ה״ז</t>
  </si>
  <si>
    <t>מדוע בסיס המס ב-31/12/2018 הוא 453,515?</t>
  </si>
  <si>
    <t xml:space="preserve">זה לא תמיד כך - אבל בנתוני השאלה הספציפיים נאמר שרשות המסים מודדת את הנכס לפי הנחיות מודל העלות </t>
  </si>
  <si>
    <t>של IAS 38 על כל המשתמע. הנחיות אלו קובעות כמובן, במקרה של נכס בלתי מוחשי בעל אורך חיים בלתי מוגדר</t>
  </si>
  <si>
    <t>הנרכש בתמורה נדחית - שעלות זו היא הסכום המהוון שנקבע במועד הרכישה.</t>
  </si>
  <si>
    <t>בהינתן אורך חיים בלתי מוגדר, לא יופחת נכס זה, גם לא מנקודת ראות רשות המסים, ולכן הותרנו את הערך</t>
  </si>
  <si>
    <t>הבסיסי שנקבע במועד הרכישה על כנו.</t>
  </si>
  <si>
    <t>האם נזקוף את ההתחייבות למסים נדחים והגידול בה כנגד קרן הון? כנגד רווח והפסד? ומדוע?</t>
  </si>
  <si>
    <t>חייבים לעצור לרגע ולשאול את עצמנו - מה בדיוק יצר את ההפרש הזמני בגינו נוצרה התחייבות למסים נדחים?</t>
  </si>
  <si>
    <t>במקרה זה, כל ההפרש הזמני נוצר כתוצאה מהערכה מחדש שהובילה לתיעוד עליית ערך כלכלית שנרשמה כנגד</t>
  </si>
  <si>
    <t>קרן הון. לפיכך, גם ההתחייבות למסים נדחים תקוזז כנגד קרן ההון בהגדרה.</t>
  </si>
  <si>
    <t>מיני טבלה מסכמת - 31/12/2018</t>
  </si>
  <si>
    <t>ק. הערכה (נטו, לאחר ייחוס מסים)</t>
  </si>
  <si>
    <t>הכנסות מס נדחה</t>
  </si>
  <si>
    <t>מס נדחה כנגד רווח כולל אחר (+ / -)</t>
  </si>
  <si>
    <t>שנת 2019</t>
  </si>
  <si>
    <t>גם בשנה זו, אורך החיים של הנכס נותר בלתי מוגדר על פי נתוני השאלה ולאור עובדה זו, גם בשנה זו, אין צורך לבצע</t>
  </si>
  <si>
    <t>הפחתה שיטתית.</t>
  </si>
  <si>
    <t>בנוסף, גם בשנה זו, ממשיך ומתקיים שוק פעיל לגבי הנכס. לכן Ward מאשר להמשיך ולהפעיל את מודל ההערכה מחדש.</t>
  </si>
  <si>
    <t>אין שום הפרשה לירידת ערך שניתן לבצע לה Recovery דרך רווח והפסד. לכן כל העלייה תוכר גם הפעם בסכום ברוטו</t>
  </si>
  <si>
    <t xml:space="preserve">בתור התחלה - כנגד קרן הערכה מחדש. </t>
  </si>
  <si>
    <t>הערכה מחדש ורישומה:</t>
  </si>
  <si>
    <t>ז׳ קרן הון - הע. מחדש</t>
  </si>
  <si>
    <t>סילוק ההתחייבות לתשלום כולל הוצאות מימון בגינה לשנת הדיווח ה-2:</t>
  </si>
  <si>
    <t xml:space="preserve">ח׳ התחייבות </t>
  </si>
  <si>
    <t>ההתחייבות מתאפסת לגמרי</t>
  </si>
  <si>
    <t>ח׳ הוצ׳ מימון</t>
  </si>
  <si>
    <t>ערך PN</t>
  </si>
  <si>
    <t>המזומן הכולל ששולם</t>
  </si>
  <si>
    <t>סוגיית מסים נדחים ליום 31/12/2019:</t>
  </si>
  <si>
    <t>סך הכל גידול בהתחייבות למסים נדחים:</t>
  </si>
  <si>
    <t xml:space="preserve">גם במקרה זה: ניתן לזהות יחסית בקלות שהגורם להפרש הזמני והגידול בו הוא אך ורק השערוך שהוביל לעליית </t>
  </si>
  <si>
    <t>ערך שהוכרה במלואה כנגד קרן הון. ולכן גם במקרה זה, כל השינוי בהתחייבות למסים נדחים יקוזז מקרן ההון:</t>
  </si>
  <si>
    <t>ז׳ התחייבות למס נדחה</t>
  </si>
  <si>
    <t>מיני טבלה מסכמת - 31/12/2019</t>
  </si>
  <si>
    <t>שנת 2020</t>
  </si>
  <si>
    <t xml:space="preserve">בר ההשבה מיד במועד זה. </t>
  </si>
  <si>
    <t>בהיעדר השפעת סממנים לירידת ערך על ערך הספרים של הנכס באופן מיידי (כי הסב״ה גבוה), אזי ההשפעה הראשונית</t>
  </si>
  <si>
    <t xml:space="preserve">של המעבר לאורך חיים מוגדר לאור שלילת הכוונות לחידוש ההסכם היא בהפחתה שיטתית של הנכס על פני שנת </t>
  </si>
  <si>
    <t xml:space="preserve">הדיווח 2020 ואילך. </t>
  </si>
  <si>
    <t xml:space="preserve">זכרו: הואיל ומבוצעת הפחתה שיטתית, יש לרשום הוצאות הפחתה בגין הפריט עצמו, אך יש גם להפחית את קרן </t>
  </si>
  <si>
    <t>ההערכה מחדש (נתון בשאלה - קרן ההערכה מחדש מופחתת לעודפים בקצב ההפחתה).</t>
  </si>
  <si>
    <t>הוצאות הפחתה - 2020</t>
  </si>
  <si>
    <t xml:space="preserve">600,000 / (10 - 2) = </t>
  </si>
  <si>
    <t xml:space="preserve">הערך 600,000 הוא ערך הספרים אשר נקבע במועד השערוך האחרון ל-31.12.2019. בנוסף, החל ממועד זה, </t>
  </si>
  <si>
    <t xml:space="preserve">יתרת אורך החיים היא 8 שנים. </t>
  </si>
  <si>
    <t>הפחתת קרן ההערכה מחדש 2020 בקצב ההפחתה - לעודפים</t>
  </si>
  <si>
    <t>ח׳ קרן הון הערכה מחדש</t>
  </si>
  <si>
    <t xml:space="preserve">112,794 / 8 = </t>
  </si>
  <si>
    <t>איפוס הפחתה נצברת - ״הכנה לשערוך״</t>
  </si>
  <si>
    <t>נכון ליום 31.12.2020 עדיין מתקיים שוק פעיל לנכס כנתון. אמנם מדובר ביום האחרון שבו מתקיים שוק פעיל,</t>
  </si>
  <si>
    <t>ז׳ זכיון (נב״מ)</t>
  </si>
  <si>
    <t>נתון בשאלה עצמה</t>
  </si>
  <si>
    <t xml:space="preserve">600,000 - 75,000 = </t>
  </si>
  <si>
    <t>הואיל וקרן ההערכה מחדש ״מספיק גדולה״ גם לאחר הפחתתה היחסית לעודפים בכדי לספוג את כל ירידת הערך</t>
  </si>
  <si>
    <t>הכלכלית כאמור, הרי שכולה - כל י״ע הכלכלית תיזקף כנגד הקרן (רווח כולל אחר) ולא כהפסד.</t>
  </si>
  <si>
    <t>אבל לא ניתן להסתפק בשערוך ובשווי ההוגן בלבד כבסיס מדידה; הואיל והפסקת ההסחרות בשוק פעיל ״ממחר״</t>
  </si>
  <si>
    <t xml:space="preserve">מהווה סממן פוטנציאלי מובהק לירידת ערך, ולכן יש לבחון סב״ה. </t>
  </si>
  <si>
    <t>זיכיון - נב״מ לאחר שערוך</t>
  </si>
  <si>
    <t>כדי לבחון איזה חלק מירידת הערך נזקוף כנגד קרן הון, ואיזה חלק כנגד הפרשה להפסד, עלינו לחשב את יתרת קרן</t>
  </si>
  <si>
    <r>
      <t xml:space="preserve">ההערכה מחדש </t>
    </r>
    <r>
      <rPr>
        <b/>
        <sz val="12"/>
        <color theme="1"/>
        <rFont val="David"/>
      </rPr>
      <t>ברוטו</t>
    </r>
    <r>
      <rPr>
        <sz val="12"/>
        <color theme="1"/>
        <rFont val="David"/>
      </rPr>
      <t xml:space="preserve"> ערב בדיקת הסב״ה:</t>
    </r>
  </si>
  <si>
    <t>הפחתה כנגד עודפים-ברוטו</t>
  </si>
  <si>
    <t xml:space="preserve">14,099 / (1 - 23%) = </t>
  </si>
  <si>
    <t>קיטון - שנספג בק. הערכה</t>
  </si>
  <si>
    <t>בסיס מס</t>
  </si>
  <si>
    <t xml:space="preserve">453,515 * 7 / 8 = </t>
  </si>
  <si>
    <t>ניתן לניכוי</t>
  </si>
  <si>
    <t>נכס מס נדחה</t>
  </si>
  <si>
    <t>יתרת פתיחה - התחייבות למס נדחה:</t>
  </si>
  <si>
    <t xml:space="preserve">33,692 / 8 = </t>
  </si>
  <si>
    <t>סיכום ביניים - אם לא היה הפסד נוסף מירידת ערך - יתרת הת׳ למ״נ</t>
  </si>
  <si>
    <t>יתרת סגירה - נכס מס נדחה לתום שנה</t>
  </si>
  <si>
    <t xml:space="preserve">ח׳ נכס מס נדחה </t>
  </si>
  <si>
    <t>מיני טבלה מסכמת - 31/12/2020</t>
  </si>
  <si>
    <t>שנת 2021</t>
  </si>
  <si>
    <t>עלינו:</t>
  </si>
  <si>
    <t xml:space="preserve">א. לבצע הפחתה שיטתית לפי אורך החיים הנותר, ערב השערוך האחרון (7 שנים). </t>
  </si>
  <si>
    <t xml:space="preserve">ב. יש לבחון קיום סממנים רלוונטיים, ייתכן ויש לבחון סב״ה מחדש, בין אם לצרכים של התחשבות בעלייה </t>
  </si>
  <si>
    <t xml:space="preserve">    או ירידת ערך לפי העניין.</t>
  </si>
  <si>
    <t>הוצאות הפחתה - 2021</t>
  </si>
  <si>
    <t>300,000 / 7 =</t>
  </si>
  <si>
    <t>ח׳ הפרשה לי״ע</t>
  </si>
  <si>
    <t xml:space="preserve">96,825 / 7 = </t>
  </si>
  <si>
    <t xml:space="preserve">396,825 / 7 = </t>
  </si>
  <si>
    <t xml:space="preserve">300,000 * 6/7 = </t>
  </si>
  <si>
    <t>י״ע נוספת - אלק עליית ערך באחוריי</t>
  </si>
  <si>
    <t xml:space="preserve">הואיל ולא קיימת יתרת קרן הערכה מחדש למועד השינוי שיכולה לספוג את הירידה הנוספת - הירידה כולה </t>
  </si>
  <si>
    <t>תיזקף כנגד הפסד והפרשה להפסד בהתאמה:</t>
  </si>
  <si>
    <t>שיטת עידו (פירוט רכיבי הנכס לאחר שינויים ברכיבים השונים ערב הסב״ה):</t>
  </si>
  <si>
    <t>זיכיון נב״מ</t>
  </si>
  <si>
    <t>יתרת הפרשה</t>
  </si>
  <si>
    <t>ספרים חדש</t>
  </si>
  <si>
    <t>סוגיית המס הנדחה</t>
  </si>
  <si>
    <t>הואיל ובשונה משנת דיווח קודמת - במקרה זה - אין שינויים שנזקפו כנגד קרן הון, כל השפעת המס תיזקף כנגד</t>
  </si>
  <si>
    <t>רווח והפסד בלי בעיות ופיצולים מיוחדים.</t>
  </si>
  <si>
    <t xml:space="preserve">453,515 * 6 / 8 = </t>
  </si>
  <si>
    <t>מיני טבלה מסכמת - 31/12/2021</t>
  </si>
  <si>
    <t>שנת 2022</t>
  </si>
  <si>
    <t xml:space="preserve">בשנה זו השוק לזיכיון חזר להיות פעיל ולכן מחזירים לתוקפו את מודל ההערכה מחדש (aka Ward). </t>
  </si>
  <si>
    <t>אבל ראשית, טרם נגיע לביצוע השערוך - שיבוצע בתום השנה, נבצע הפחתה שיטתית כרגיל, וזאת מהטעם</t>
  </si>
  <si>
    <t xml:space="preserve">שלא חל שינוי בתכניות החברה לעניין ההמנעות מחידוש ההסדר בתום חייו. </t>
  </si>
  <si>
    <t>רישום הוצאות הפחתה - 2022</t>
  </si>
  <si>
    <t xml:space="preserve">240,000 / 6 = </t>
  </si>
  <si>
    <t xml:space="preserve">100,136 / 6 = </t>
  </si>
  <si>
    <t>איפוס הפחתה נצברת - הכנה לשערוך 2022</t>
  </si>
  <si>
    <t>שערוך - 2022</t>
  </si>
  <si>
    <t xml:space="preserve">240,000 * 5/6 = </t>
  </si>
  <si>
    <t>שווי הוגן - נתון</t>
  </si>
  <si>
    <t>עלייה עד לגובה יתרת ההפרשה:</t>
  </si>
  <si>
    <t>100,136 * 5/6 =</t>
  </si>
  <si>
    <t xml:space="preserve">220,000 - 83,447 = </t>
  </si>
  <si>
    <t>ח׳ הפרשה לי״ע 83,447</t>
  </si>
  <si>
    <t>ז׳ רווח מע״ע 83,447</t>
  </si>
  <si>
    <t>ז׳ קרן הון הערכה מחדש</t>
  </si>
  <si>
    <t>מסים</t>
  </si>
  <si>
    <t xml:space="preserve">453,515 * 5 / 8 = </t>
  </si>
  <si>
    <t>יתרת פתיחה - נכס מס נדחה:</t>
  </si>
  <si>
    <t xml:space="preserve">23,031 / 6 = </t>
  </si>
  <si>
    <t>יתרת סגירה - הת׳ למ״נ לתום שנה:</t>
  </si>
  <si>
    <t>ח׳ הוצ׳ מס נדחה</t>
  </si>
  <si>
    <t>ז׳ נכס מ״נ</t>
  </si>
  <si>
    <t>ז׳ הת׳ למ״נ</t>
  </si>
  <si>
    <t>מיני טבלה מסכמת - 31/12/2022</t>
  </si>
  <si>
    <t>לפי סיכום הערכים = 60,000 = 10,000 + 50,000</t>
  </si>
  <si>
    <t>פקודת יומן - רישום הוצ׳ הפחתה 2009</t>
  </si>
  <si>
    <t>ערך ספרים מחולק ביתרת אורך החיים ל-1.1.09</t>
  </si>
  <si>
    <t>יתרת ההפרשה לירידת ערך ל-1.1.09 מחולקת ביתרת החיים</t>
  </si>
  <si>
    <r>
      <t xml:space="preserve">הפרשה לירידת ערך יש להשתמש בסב״ה כדי לבחון זאת. שימו לב: אני לא בודק סב״ה כי אני משערך. אין שערוך כי </t>
    </r>
    <r>
      <rPr>
        <u/>
        <sz val="12"/>
        <color theme="1"/>
        <rFont val="David"/>
      </rPr>
      <t>אין שוק פעיל</t>
    </r>
    <r>
      <rPr>
        <sz val="12"/>
        <color theme="1"/>
        <rFont val="David"/>
      </rPr>
      <t>.</t>
    </r>
  </si>
  <si>
    <r>
      <t xml:space="preserve">אין שערוך. </t>
    </r>
    <r>
      <rPr>
        <b/>
        <sz val="12"/>
        <color theme="1"/>
        <rFont val="David"/>
      </rPr>
      <t>ווארד ושריריו ניצבים בשער בגאון</t>
    </r>
    <r>
      <rPr>
        <sz val="12"/>
        <color theme="1"/>
        <rFont val="David"/>
      </rPr>
      <t>. אלא שגם כאשר הערכה מחדש איננה רלוונטית לאור היעדר שוק פעיל,</t>
    </r>
  </si>
  <si>
    <t>שימו לב: הואיל ואין פה שערוך, לא נוכל לומר שאוטומטית ניתן להכיר במלוא הגידול בשווי הנכס בהתאם להפרש לעיל.</t>
  </si>
  <si>
    <t>המגבלה להכרה בעלייה היא בגובה יתרת ההפרשה לירידת ערך במועד הבדיקה.</t>
  </si>
  <si>
    <t>בהקשר זה יתרת ההפרשה לירידת ערך, נכון ליום 31.12.2009 ערב חישוב ע״ע כלכלית:</t>
  </si>
  <si>
    <r>
      <t xml:space="preserve">לכן אין חריגה מהתקרה לביטול הפרשה - </t>
    </r>
    <r>
      <rPr>
        <b/>
        <sz val="12"/>
        <color theme="1"/>
        <rFont val="David"/>
      </rPr>
      <t>וכל עליית הערך תוכר ותירשם ברווח והפסד כנגד ביטול ההפרשה</t>
    </r>
    <r>
      <rPr>
        <sz val="12"/>
        <color theme="1"/>
        <rFont val="David"/>
      </rPr>
      <t>.</t>
    </r>
  </si>
  <si>
    <t>הערכה כלפי מעלה מעבר לביטול הפרשה כשאין הערכה מחדש כי אין שוק פעיל (ולכן תקועים במודל העלות ללא שערוכים)!!!</t>
  </si>
  <si>
    <t xml:space="preserve">בשפה פשוטה: אם נניח ע״ע כלכלית היתה 50,000, היינו מכירים רק ב-40,000, השאר ״מת״ כלומר לא יטופל בכלל, אין </t>
  </si>
  <si>
    <t xml:space="preserve">עלות היסטורית </t>
  </si>
  <si>
    <t>מופחתת החל משנת 2008</t>
  </si>
  <si>
    <t>כי ממנה ואילך אורך החיים</t>
  </si>
  <si>
    <t>היה 6 שנים</t>
  </si>
  <si>
    <r>
      <t xml:space="preserve">שאין שוק פעיל; אלא שלמרבה המזל סיפרו גם </t>
    </r>
    <r>
      <rPr>
        <b/>
        <sz val="12"/>
        <color theme="1"/>
        <rFont val="David"/>
      </rPr>
      <t>ששוק פעיל חזר להתקיים בשנה זו</t>
    </r>
    <r>
      <rPr>
        <sz val="12"/>
        <color theme="1"/>
        <rFont val="David"/>
      </rPr>
      <t xml:space="preserve">. לכן מבחינת הטיפול, בהחלט </t>
    </r>
  </si>
  <si>
    <r>
      <t xml:space="preserve">נרצה לעיין בנתונים ולבחון את </t>
    </r>
    <r>
      <rPr>
        <b/>
        <sz val="12"/>
        <color theme="1"/>
        <rFont val="David"/>
      </rPr>
      <t>היכולת לבצע הערכה מחדש ואת משמעותה</t>
    </r>
    <r>
      <rPr>
        <sz val="12"/>
        <color theme="1"/>
        <rFont val="David"/>
      </rPr>
      <t>.</t>
    </r>
  </si>
  <si>
    <t>תחילה עד לתום השנה - תרשמנה הוצאות הפחתה ״כרגיל״</t>
  </si>
  <si>
    <t>בשנה קודמת חל שינוי בנכס - בוטלה ההפרשה לירידת ערך. תמיד כשחל שינוי בנכס (כתוצאה משיערוך, שינוי</t>
  </si>
  <si>
    <t xml:space="preserve">הפרשה וכיוצא בזה) נתייחס לערך הספרים האחרון כבסיס פחת חדש, על פני יתרת אורך החיים הנותרת. </t>
  </si>
  <si>
    <t xml:space="preserve">שימו לב שעדיין אין חזרה מההגדרה של אורך חיים מוגדר, ויתרת אורך החיים ל-1.1.2010 היא 4 שנים. </t>
  </si>
  <si>
    <t>פקודה טכנית זו, לאיפוס הפחתה נצברת רגע לפני השערוך, לא משפיעה על ערך הספרים אלא רק על הסיווג הפנימי:</t>
  </si>
  <si>
    <t>תחילה - הכנה לשערוך - איפוס הפחת נצברת כנגד חשבון הנכס ״ברוטו״</t>
  </si>
  <si>
    <t>לרווח והפסד: היינו זוקפים את עליית הערך או חלקה, אם היה הפסד שהוכר</t>
  </si>
  <si>
    <t xml:space="preserve">בעבר שניתן היה לבטל (אם היתה יתרת הפרשה). בהיעדר יתרה כזו, </t>
  </si>
  <si>
    <t>לא נזקוף דבר לרווח והפסד.</t>
  </si>
  <si>
    <t>לקרן הון: כלל הזקיפה, אם כך, במקרה זה - היא לרווח כולל אחר / קרן הון.</t>
  </si>
  <si>
    <t>שני שאלה: שי, מה לגבי הסב״ה?</t>
  </si>
  <si>
    <t>הסב״ה רלוונטי כאשר אנו חוששים שקיימת ירידת ערך. כאן, הסב״ה נמוך מהשווי ההוגן, אין שום סממן לירידת ערך, ולכן אין סיבה</t>
  </si>
  <si>
    <t xml:space="preserve">להתייחס אליו. </t>
  </si>
  <si>
    <t>שני שאלה: ואם הסב״ה היה גבוה מהשווי ההוגן, האם הייתי מתייחסת אליו?</t>
  </si>
  <si>
    <t>התשובה: לא. אין סממן לירידת ערך, מודל השערוך פועל לפי שווי הוגן ולא לפי סב״ה.</t>
  </si>
  <si>
    <t>שוערך לשווי הוגן</t>
  </si>
  <si>
    <t xml:space="preserve">150,000 - 45,000 = </t>
  </si>
  <si>
    <t>התמורה הכוללת בעד הזיכיון תשולם בחלוף שנתיים ממועד הרכישה;</t>
  </si>
  <si>
    <t>אז בעצם, כהרחבה, כדי להכיר בנכס בגין עלות שינוי השם, יש לפעול באחד מבין שני מסלולים:</t>
  </si>
  <si>
    <t>עלות שינוי השם היא נב״מ</t>
  </si>
  <si>
    <t>בפני עצמו:</t>
  </si>
  <si>
    <t>זיהוי: מתקיים (זכות משפטית)</t>
  </si>
  <si>
    <t>שליטה: מתקיים (זכות בלעדית להשתמש בשם החברה החדש)</t>
  </si>
  <si>
    <t>עלות: ידועה</t>
  </si>
  <si>
    <t>צפי להטבות כלכליות: לא ניתן להעריך הטבה בגין שינוי שם!</t>
  </si>
  <si>
    <t>לכן לא ניתן להכיר בנכס</t>
  </si>
  <si>
    <t>עלות שינוי השם היא חלק שמתווסף</t>
  </si>
  <si>
    <t>לנכס הזיכיון</t>
  </si>
  <si>
    <t>לא! וזאת משום שאין שום תנאי</t>
  </si>
  <si>
    <t>לשינוי השם, כבסיס למתן הזיכיון</t>
  </si>
  <si>
    <t>נתון ליום 31/12/2018</t>
  </si>
  <si>
    <t>העלות במונחי מזומן (מהוונת, כאמור לעיל)</t>
  </si>
  <si>
    <t>שווי משוערך לשווי הוגן</t>
  </si>
  <si>
    <t>ללא הפחתה כי אורך החיים בלתי מוגדר</t>
  </si>
  <si>
    <t xml:space="preserve">71,485 - 16,442 = 71,485 * (1 - 23%) = </t>
  </si>
  <si>
    <t>שווי הוגן ל-31/12/2019 - נתון</t>
  </si>
  <si>
    <t>יתרת פתיחה - ליום 31/12/2018</t>
  </si>
  <si>
    <t>מה לגבי סכום בר השבה, שנתון כי ערכו ל-31/12/2019 הוא 650,000 ש״ח?</t>
  </si>
  <si>
    <t>התקן IAS 38 מגדיר שכאשר אורך החיים בלתי מוגדר (כאן - מתקיים) חובה לבדוק את סב״ה בכל מועד דיווח.</t>
  </si>
  <si>
    <t>יחד עם זאת, לאחר ששיערכנו - בדקנו את סב״ה וגילנו שסב״ה בשמיים (כלומר ערכו גבוה מהשווי ההוגן)</t>
  </si>
  <si>
    <t>ולכן שכמובן שאין ירידת ערך שצריך להתייחס אליה. ופשוט המשכנו הלאה.</t>
  </si>
  <si>
    <t>מטרת ההרצאה:</t>
  </si>
  <si>
    <t xml:space="preserve">דיון בתלויות - לפי IAS 37. </t>
  </si>
  <si>
    <t>אזהרה: זהו שיעור תיאורטי בעיקרו. בהתאם, צריך לשמור על קשב וריכוז מעבר לסטנדרט. רוב הנושא יהיה כרוך</t>
  </si>
  <si>
    <t>בהיבטים תיאורטיים, אם כי יהיו גם הקשרים כמותיים לדיון, לכשנסיים את סקירת התקן (24 עמודים של כל טוב).</t>
  </si>
  <si>
    <t>אז מבוא - במה עוסק IAS 37? בואו נדבר קצת בפתיחות לפני התקן</t>
  </si>
  <si>
    <t xml:space="preserve">אי התרחשות של אירועים עתידיים - תנאי מתלה (מהמילה ״תלוי״). </t>
  </si>
  <si>
    <t>כמובן שתביעה היא דוגמא מאד קלאסית לנכס תלוי או התחייבות תלויה, ויש סוגים רבים נוספים. ודרך התקן,</t>
  </si>
  <si>
    <t xml:space="preserve">ננסה להבהיר מהם המבחנים, ההסתברותיים ו/או האחרים, להכרה בנכסים תלויים ולהתחייבויות תלויות </t>
  </si>
  <si>
    <t>איך נלמד? מה מצפה לנו בשיעור הנוכחי ובשיעור הבא?</t>
  </si>
  <si>
    <t xml:space="preserve">בהערכה גסה במפגש הנוכחי נעבור על מחצית מהתקן, סדר גודל. </t>
  </si>
  <si>
    <t>במפגש העוקב, נעבור על מחצית נוספת ואולי נתחיל תרגול.</t>
  </si>
  <si>
    <t>במפגש האחרון, נציג את המבנה של הבחינה המסכמת ונציג את מתווה ההכנה הסופי ליישורת האחרונה בקורס.</t>
  </si>
  <si>
    <t>חשוב מאד: אתם קוראים את כל התקן, בין אם מדובר בסעיפים שהדגשנו, בין אם לאו. על הכל אתם יכולים להישאל;</t>
  </si>
  <si>
    <t>למעשה זו הפעם האחרונה שתיחשפו בצורה מסודרת לתקן הזה, כאשר יכולות להיות השלכות עתידיות שלו בקורסים</t>
  </si>
  <si>
    <t xml:space="preserve">ברמה הכמותית במגוון היבטים. </t>
  </si>
  <si>
    <t>רגע שי, איפה הסיכום?</t>
  </si>
  <si>
    <t>לא תרגלנו בשלב הזה, אלא עברנו על התקן. יש לקרוא אותו בשלמותו וללמוד אותו היטב.</t>
  </si>
  <si>
    <t>בצרופה קישור לתקן לשם נוחות.</t>
  </si>
  <si>
    <t>http://www.iasb.org.il/upload/TFDPGG7868פרק_58.pdf</t>
  </si>
  <si>
    <t>בסדר גמור אבל איך נתרגל / נוודא הפנמה?</t>
  </si>
  <si>
    <t>מטרה:</t>
  </si>
  <si>
    <t>כרגיל, הדיון בתיאוריה, במיוחד בנושאים חשבונאיים שעיקרם תיאוריה כגון נכסים תלויים, התחייבויות תלויות</t>
  </si>
  <si>
    <t xml:space="preserve">והפרשות, איננו מספק ללא דוגמאות קונקרטיות וניתוח אירועים. </t>
  </si>
  <si>
    <t>לכן, ובהמשך למעקב אחר תהליך ההפנמה שלכם מהשיעור הקודם, המפגש הנוכחי יעסוק בתרגול אינטנסיבי</t>
  </si>
  <si>
    <t xml:space="preserve">בנושא יותר מאשר חזרה וסיכומים. </t>
  </si>
  <si>
    <t>לא רק זאת - נפתור שאלת מועצה בנושא. השאלה כוללת גם דיון בעקרונות בהכרה בהכנסות מחוזים עם לקוחות</t>
  </si>
  <si>
    <t>שתלמדו יותר לעומק בקורסים עתידיים, אך נציג את המסגרת שהיא חיונית לשאלות שבמקרים רבים משלבות</t>
  </si>
  <si>
    <t>בין הסוגיות הנ״ל.</t>
  </si>
  <si>
    <t>חלק ראשון - שאלות קלות - חימום</t>
  </si>
  <si>
    <t xml:space="preserve">כדי שלא יהיה משעמם מדי, ניתן לכם פרק זמן רלוונטי להתנסות בפתרון השאלות. </t>
  </si>
  <si>
    <t>אפילו נציין כאן קישור לתקן לשם נוחות, הנה:</t>
  </si>
  <si>
    <t>שאלה 1</t>
  </si>
  <si>
    <t>א. התחייבות שאיננה מוכרת בדוחות הכספיים עצמם (איננה מוצגת) אלא רק ניתן בגינה גילוי בביאורים.</t>
  </si>
  <si>
    <t>ב. התחייבות שעיתוי פרעונה או סכומה אינו ודאי.</t>
  </si>
  <si>
    <t>ג. כל מחויבות בהווה הנובעת מאירועי העבר אשר סילוקה חזוי לגרום תזרים שלילי לישות.</t>
  </si>
  <si>
    <t>ד. מחויבות הנובעת מחוזה בלבד.</t>
  </si>
  <si>
    <t>ה. כל התשובות נכונות.</t>
  </si>
  <si>
    <t>תשובה 1</t>
  </si>
  <si>
    <t>התשובה הנכונה: ב. להלן הציטוט הרלוונטי מסעיף 10 ב - IAS 37:</t>
  </si>
  <si>
    <t>טענה א - שגויה. ומדוע? משום שהפרשה היא דווקא התחייבות שלמרות אי הודאות המסוימת הגלומה בה, כן מוכרת</t>
  </si>
  <si>
    <t>בדוחות הכספיים (מבחינת מהימנות הערכת הסכום והסבירות), ולכן כן מוצגת בדוחות עצמם כהתחייבות. וזאת לעומת</t>
  </si>
  <si>
    <t>התחייבות תלויה, שלא מקיימת את הקריטריונים להצגה בדיווח, ובגינה יינתן גילוי בלבד.</t>
  </si>
  <si>
    <t>טענה ג - שגויה. ומדוע? לא כל מחויבות שחזויה להוביל ליציאת משאבים היא הפרשה; נדרש קיום מימד אי ודאות</t>
  </si>
  <si>
    <t>בהיבט עיתוי או סכום. למשל: התחייבות לספקים בגין קניית סחורה היא התחייבות כמובן; אך איננה הפרשה</t>
  </si>
  <si>
    <t>לאור הודאות הגלומה בתנאי התשלום וסכומו בהתאם לסיכום עם הספק / הזמנת הרכש.</t>
  </si>
  <si>
    <t xml:space="preserve">טענה ד - שגויה. מחויבות יכולה לנבוע מהוראות חוק למשל, ולא רק מהסדר חוזי, וכמובן שהמחויבות יכולה להיות </t>
  </si>
  <si>
    <t xml:space="preserve">גם משתמעת. </t>
  </si>
  <si>
    <t>התייחסות מסויימת לשאלת גוזלי - ״שי, התקן מתייחס להפרשה באמצעות הגדרה שיכולה להתאים גם להתחייבות</t>
  </si>
  <si>
    <t>תלויה. זה קצת מבלבל, ודורש עוד קצת סדר במונחים״.</t>
  </si>
  <si>
    <t>סבירות</t>
  </si>
  <si>
    <t>ומהימנות</t>
  </si>
  <si>
    <t>התחייבות</t>
  </si>
  <si>
    <t>התחייבויות (תלויה)</t>
  </si>
  <si>
    <t>רגילה</t>
  </si>
  <si>
    <t>התחייבות שהסתברות</t>
  </si>
  <si>
    <t xml:space="preserve">שהסתברות </t>
  </si>
  <si>
    <t>בעלות הסתברות</t>
  </si>
  <si>
    <t>כגון</t>
  </si>
  <si>
    <t>מימושה גבוהה יחסית,</t>
  </si>
  <si>
    <t>קלושה למימוש - remote</t>
  </si>
  <si>
    <t>הלוואה,</t>
  </si>
  <si>
    <t>אך עדיין לא ודאית</t>
  </si>
  <si>
    <t>לא גבוהה</t>
  </si>
  <si>
    <t>או השפעה זניחה</t>
  </si>
  <si>
    <t>ספקים</t>
  </si>
  <si>
    <t>ואשר סכומה</t>
  </si>
  <si>
    <t>בעלת השפעה</t>
  </si>
  <si>
    <t>על הישות</t>
  </si>
  <si>
    <t>וכיוצא</t>
  </si>
  <si>
    <t>ניתן לאמידה</t>
  </si>
  <si>
    <t>בזה</t>
  </si>
  <si>
    <t xml:space="preserve">מהימנה (גם אם </t>
  </si>
  <si>
    <t>ו/או שהסכום</t>
  </si>
  <si>
    <t>לא תוכרנה (לא תוצגנה)</t>
  </si>
  <si>
    <t>בדרך של תוחלת</t>
  </si>
  <si>
    <t>לא ניתן לאמידה</t>
  </si>
  <si>
    <t>לא יינתן גילוי</t>
  </si>
  <si>
    <t>לא</t>
  </si>
  <si>
    <t>וחישובים סטטיסטיים</t>
  </si>
  <si>
    <t>מהימנה (גם אם</t>
  </si>
  <si>
    <t>בתחולת</t>
  </si>
  <si>
    <t>אחרים)</t>
  </si>
  <si>
    <t>ההסתברות גבוהה מאד)</t>
  </si>
  <si>
    <t>התקן</t>
  </si>
  <si>
    <t>IAS 37</t>
  </si>
  <si>
    <t>הצגה (בדוחות)</t>
  </si>
  <si>
    <t>יינתן גילוי - בביאורים</t>
  </si>
  <si>
    <t>וגילוי (מידע נוסף בביאורים)</t>
  </si>
  <si>
    <t>לא יוצג (לא יוכר בדוח)</t>
  </si>
  <si>
    <t>כל אלו הן ״התחייבויות תלויות״ אך התקן מתייחס ספציפית למושג הפרשה</t>
  </si>
  <si>
    <t>לתיאור התחייבות שתוכר בדיווח לאור סבירות מימוש ומהימנות סכומים</t>
  </si>
  <si>
    <t>שאלה 2</t>
  </si>
  <si>
    <t>דוגמאות להפרשות המטופלות במסגרת IAS 37 הן:</t>
  </si>
  <si>
    <t>א. הפרשה לתביעה</t>
  </si>
  <si>
    <t>ב. הפרשה לירידת ערך נכסים</t>
  </si>
  <si>
    <t>ג. הפרשה לחובות מסופקים</t>
  </si>
  <si>
    <t>ד. תשובות א, ב ו-ג נכונות</t>
  </si>
  <si>
    <t>ה. כל התשובות שגויות</t>
  </si>
  <si>
    <t>תשובה 2</t>
  </si>
  <si>
    <t xml:space="preserve">התשובה: א. </t>
  </si>
  <si>
    <t xml:space="preserve">חשוב לזכור, שהתקן IAS 37 לא מתייחס למושג ״הפרשה״ באופן כללי, אלא בקונטקסט של התחייבויות. </t>
  </si>
  <si>
    <t xml:space="preserve">כן, זה נכון שבחשבונאות בכללותה, מקובל במקרים רבים לעשות שימוש במונח הפרשה בתור ערך המקוזז </t>
  </si>
  <si>
    <t xml:space="preserve">משוויים המאזני של נכסים (הפרשה לירידת ערך רכוש קבוע וכיו״ב). יחד עם זאת, בסוגי הפרשות כאמור, </t>
  </si>
  <si>
    <t xml:space="preserve">התקן IAS 37 לא עוסק. </t>
  </si>
  <si>
    <t>גם היגד ב וגם היגד ג עוסקים ברכיב של ההפרשה הדן בקיטון בשווי נכסים, ובהקשר לתקן הספציפי הנדון,</t>
  </si>
  <si>
    <t xml:space="preserve">זה פשוט לא שייך אליו ולא בתחולתו. </t>
  </si>
  <si>
    <t>שאלה 3</t>
  </si>
  <si>
    <t>התחייבות תלויה שאיננה עונה לגדר ״הפרשה״ כפי שמתייחס אליה התקן IAS 37:</t>
  </si>
  <si>
    <t>א. לא תוכר בדוחות הכספיים</t>
  </si>
  <si>
    <t>ד. תשובות ב ו-ג נכונות</t>
  </si>
  <si>
    <t>ה. תשובות א ו-ג נכונות</t>
  </si>
  <si>
    <t>תשובה 3</t>
  </si>
  <si>
    <r>
      <t xml:space="preserve">טענה </t>
    </r>
    <r>
      <rPr>
        <b/>
        <sz val="12"/>
        <color theme="1"/>
        <rFont val="David"/>
      </rPr>
      <t>א נכונה</t>
    </r>
    <r>
      <rPr>
        <sz val="12"/>
        <color theme="1"/>
        <rFont val="David"/>
      </rPr>
      <t xml:space="preserve">: הבהרנו כי אך ורק התחייבות תלויה העונה לגדר ״הפרשה״ תוכר בדוחות הכספיים עצמם. </t>
    </r>
  </si>
  <si>
    <t>טענה ב: לא נכונה. זה נכון שהתחייבות תלויה שאיננה עונה לגדר הפרשה לא תוכר, אבל זה כמובן לא אומר שלא</t>
  </si>
  <si>
    <t xml:space="preserve">יינתן בגינה גילוי. ההיפך הוא הנכון, יינתן בגינה גילוי, למעט מקרה קיצוני קלוש (remote). </t>
  </si>
  <si>
    <r>
      <t xml:space="preserve">טענה </t>
    </r>
    <r>
      <rPr>
        <b/>
        <sz val="12"/>
        <color theme="1"/>
        <rFont val="David"/>
      </rPr>
      <t>ג נכונה</t>
    </r>
    <r>
      <rPr>
        <sz val="12"/>
        <color theme="1"/>
        <rFont val="David"/>
      </rPr>
      <t>: אחד מהגורמים לכך שהתחייבות לא תוכר (ולכן תהווה התחייבות תלויה ולא הפרשה) היא היעדר</t>
    </r>
  </si>
  <si>
    <t>היכולת לאמוד מהימנה (בצורה אמינה, מדויקת באופן יחסי) את היציאה של ההטבות הצפויות.</t>
  </si>
  <si>
    <t>לכן, בסופו של יום, התשובה הנכונה היא ה: טענות א + ג נכונות.</t>
  </si>
  <si>
    <t>שאלה 4</t>
  </si>
  <si>
    <t>להתחייבות תלויה לא יינתן גילוי כאשר:</t>
  </si>
  <si>
    <t>א. האפשרות לתזרים שלילי בסילוק היא קלושה (remote).</t>
  </si>
  <si>
    <t>ב. ההתחייבות התלויה איננה עומדת בהגדרת הפרשה.</t>
  </si>
  <si>
    <t>ג. ההתחייבות התלויה איננה מקיימת את הקריטריונים להכרה.</t>
  </si>
  <si>
    <t xml:space="preserve">ד. מדובר בהפרשה על פי הגדרתה ב - IAS 37. </t>
  </si>
  <si>
    <t>ה. אין אף תשובה נכונה - משום שתמיד צריך לתת גילוי להתחייבות תלויה מה זה השטויות האלה.</t>
  </si>
  <si>
    <t>תשובה 4</t>
  </si>
  <si>
    <t>התשובה הנכונה היא א לפי ההגדרה.</t>
  </si>
  <si>
    <t>עצם אי העמידה בהגדרת הפרשה לא שוללת את הצורך בגילוי. למעשה, רק במקרה שבו ההסתברות קלושה, רק</t>
  </si>
  <si>
    <t>במקרה שבו צפי היציאה הוא בהסתברות נמוכה מאד (remote) לא יינתן הגילוי כאמור.</t>
  </si>
  <si>
    <t xml:space="preserve">באופן דומה, גם אם לא מתקיימים הקריטריונים להכרה, אין זה אומר שלא יינתן גילוי. </t>
  </si>
  <si>
    <t>ולגבי ד - קשקוש גדול, משום שגם להפרשה יינתן גילוי - לצד ההכרה והצגתה בדוחות עצמם.</t>
  </si>
  <si>
    <t>שאלה 5</t>
  </si>
  <si>
    <t>סמנו את הטענה הנכונה:</t>
  </si>
  <si>
    <t>א. ישות לא תכיר בנכס תלוי.</t>
  </si>
  <si>
    <t>ב. ישות לא תעניק גילוי לנכס תלוי.</t>
  </si>
  <si>
    <t>ג. נכסים תלויים מוערכים פעם אחת ויחידה בחייהם.</t>
  </si>
  <si>
    <t>ד. תשובות א ו-ב נכונות.</t>
  </si>
  <si>
    <t>ה. אין אף תשובה נכונה.</t>
  </si>
  <si>
    <t>תשובה 5</t>
  </si>
  <si>
    <t>התשובה א.</t>
  </si>
  <si>
    <t>שהתפיסה היא שקורא הדוחות בהחלט יתעניין במידע פוטנציאלי לגבי היכולת להניב הטבות כתלות באירועים</t>
  </si>
  <si>
    <t>עתידיים; כמובן שעל קורא הדוחות במצב כזה להפעיל שיקול דעת - לגבי הערכתו את הסתברות האירועים העתידיים</t>
  </si>
  <si>
    <t>ומשמעותם בהקשר להחלטותיו בחברה.</t>
  </si>
  <si>
    <t>כמו תמיד: אם ההסתברות לקבלת ההטבה קלושה (remote) לא יינתן בגינה גילוי. זהו מקרה קיצוני.</t>
  </si>
  <si>
    <t>חלק שני - HARD CORE</t>
  </si>
  <si>
    <t>החלק הזה מורכב הרבה יותר, שאלת מועצה אמיתית עם רכיבים אינטגרטיביים. אנו נקרא את השאלה</t>
  </si>
  <si>
    <t>ביחד, בשתי השאלות הראשונות  שדורשות חשיבה מסוימת במונחים שלא הוצגו בצורה ישירה נפתור ביחד, ואז</t>
  </si>
  <si>
    <t xml:space="preserve">אתן לכם את הזמן לחשוב ולנמק את יתר ההיגדים על פי התקן. </t>
  </si>
  <si>
    <t>שאלת מועצה - הכרה בהכנסה לעומת רכיב התחייבויות לרבות היבטים ב- IAS 37</t>
  </si>
  <si>
    <t>חברת פולארון בע״מ (להלן: ״החברה״) הנה חברה ציבורית אשר מניותיה רשומות למסחר בבורסה לניירות</t>
  </si>
  <si>
    <t xml:space="preserve">ערך בתל אביב ועוסקת בייצור ושיווק קורקינטים ממונעים. </t>
  </si>
  <si>
    <t xml:space="preserve">בשנתיים וחצי נוספות (להלן: ״האחריות המורחבת״). בכל נקודת זמן באפשרות הלקוחות אף לרכוש בנפרד </t>
  </si>
  <si>
    <t xml:space="preserve">הרחבת האחריות לשנתיים וחצי נוספות תמורת 300 ש״ח למוצר (לא ניתן לרכוש אחריות רגילה בנפרד). </t>
  </si>
  <si>
    <t>בגין האחריות הרגילה צופה החברה, על בסיס נסיון העבר, כי עלות התיקונים הממוצעת בגין קורקינט ממונע</t>
  </si>
  <si>
    <t xml:space="preserve">תסתכם לסך של 100 ש״ח. </t>
  </si>
  <si>
    <t>בשנת 2018, מכרה החברה בתמורה למזומן 100,000 קורקינטים ממונעים, הכוללים 70,000 קורקינטים ממונעים</t>
  </si>
  <si>
    <t>עם אחריות מורחבת לתקופה של שלוש שנים ו-30,000 קורקינטים ממונעים עם אחריות רגילה לתקופה של חצי</t>
  </si>
  <si>
    <t>שנה. מחיר קורקינט ממונע עם אחריות רגילה בלבד הנו 1,000 ש״ח ומחיר קורקינט ממונע עם אחריות מורחבת</t>
  </si>
  <si>
    <t>הנו 1,200 ש״ח.</t>
  </si>
  <si>
    <t>במהלך שנת 2018 נפצע לקוח של החברה בתאונת קורקינט. לטענת הלקוח, התאונה נגרמה כתוצאה מליקוי</t>
  </si>
  <si>
    <t>בטיחותי בקורקינט הממונע של החברה.</t>
  </si>
  <si>
    <t xml:space="preserve">בינואר 2019, טרם אישור הדוחות הכספיים של החברה לשנת 2018, הגיש הלקוח תביעה כנגד החברה בסך  </t>
  </si>
  <si>
    <t>של 3,000,000 ש״ח בגין נזקים גופניים שנגרמו לו כתוצאה מהתאונה.</t>
  </si>
  <si>
    <t xml:space="preserve">לחברה כיסוי ביטוחי מלא בגין תביעות מסוג זה, שעשוי אף לשפות את החברה בסכומים שעולים על הסכום </t>
  </si>
  <si>
    <t>שנתבע. החברה הגישה את התביעה לחברת הביטוח, במועד שהתקבלה, וזו הודיעה כי אינה מתכחשת לאחריותה</t>
  </si>
  <si>
    <t>לכיסוי מלוא עלויות התביעה, ככל שיידרש.</t>
  </si>
  <si>
    <t>להערכת החברה בהתבסס על חוות דעת של יועציה המשפטיים צפוי כי החברה תמצא אחראית לנזקים שנגרמו</t>
  </si>
  <si>
    <t>לתובע ותידרש לשלם 1,000,000 ש״ח.</t>
  </si>
  <si>
    <t>הנחות:</t>
  </si>
  <si>
    <t>א. יש להתעלם מהשפעת המס.</t>
  </si>
  <si>
    <t>ב. יש להניח כי ערך הזמן אינו מהותי לצורך מדידת הכנסות והפרשות.</t>
  </si>
  <si>
    <t>ג. החברה יודעת להפריד באופן סביר בין אחריות מורחבת לבין אחריות רגילה.</t>
  </si>
  <si>
    <t>ד. החברה פועלת בתחום מזה שנים רבות ולא קיימת שונות משמעותית במחירי המכירה של המוצרים והשירותים</t>
  </si>
  <si>
    <t xml:space="preserve">של החברה. </t>
  </si>
  <si>
    <t>שאלות - סמנו נכון / לא נכון ונמקו בהרחבה:</t>
  </si>
  <si>
    <t>בשנת 2018 תכיר החברה בהכנסות ממכירת הקורקינטים עצמם (ללא הכנסה בעד השירותים הנלווים)</t>
  </si>
  <si>
    <t>בסכום של 93,000 אלפי ש״ח.</t>
  </si>
  <si>
    <t>לא נכון</t>
  </si>
  <si>
    <t>תחילה - ריכוז נתונים:</t>
  </si>
  <si>
    <t>אלפי יח׳</t>
  </si>
  <si>
    <t>אלפי ש״ח ליח׳</t>
  </si>
  <si>
    <t>מכירות קורקינטים - באלפי יח׳:</t>
  </si>
  <si>
    <t>אחריות מורחבת - אלפי יח׳:</t>
  </si>
  <si>
    <t>אני טוען - שככל שלקוחות רכשו לאחר עסקת הרכישה המקורית אחריות מורחבת, הרי שבכל מקרה ההכנסות</t>
  </si>
  <si>
    <t>ככל שתיווצרנה כתוצאה מכך אינן הכנסות ממכירת הקורקינט עצמו.</t>
  </si>
  <si>
    <t xml:space="preserve">לכן, לצורך אומדן ההכנסות מקורקינטים ספציפית, אני בכלל לא אתייחס לנתוני תשלומים בגין הרחבת </t>
  </si>
  <si>
    <t>אחריות שבוצעו לאחר מועד מכירת הקורקינטים. מעבר לזה, השאלה עצמה גם לא מפרטת נתונים בדבר</t>
  </si>
  <si>
    <t xml:space="preserve">היקף הלקוחות שביצעו עסקת הרחבת אחריות בתקופה מאוחרת ממועד הרכישה. </t>
  </si>
  <si>
    <t xml:space="preserve">באופן כללי - במידה והיתה עסקה של מכירת קורקינט שלאחריה עסקת מכירת אחריות מורחבת נפרדת, </t>
  </si>
  <si>
    <t>הרי שרכיבי העסקה בהיבט התמורה היו:</t>
  </si>
  <si>
    <t>אלפי ש״ח</t>
  </si>
  <si>
    <t>בעד הקורקינט</t>
  </si>
  <si>
    <t>בעד הרחבת אחריות</t>
  </si>
  <si>
    <t>בהתאם ל - IFRS 15 בדבר ״הכנסות מחוזים עם לקוחות״ יש לבצע פיצול פרופורציונלי (יחסי) של רכיבי התמורה,</t>
  </si>
  <si>
    <t xml:space="preserve">ולייחס לפיהם את רכיבי התמורה בעסקה ה״מאוחדת״ (קורקינט ואחריות מורחבת במועד המכירה). </t>
  </si>
  <si>
    <t>שלב 2 PN</t>
  </si>
  <si>
    <t>שלב 1</t>
  </si>
  <si>
    <t>מחיר מלא</t>
  </si>
  <si>
    <t>תמורה</t>
  </si>
  <si>
    <t>במלים:</t>
  </si>
  <si>
    <t>קורקינט</t>
  </si>
  <si>
    <t>בעד הרחבת</t>
  </si>
  <si>
    <t>והרחבה</t>
  </si>
  <si>
    <t>אחריות</t>
  </si>
  <si>
    <t>בעסקה</t>
  </si>
  <si>
    <t>בעסקה נפרדת</t>
  </si>
  <si>
    <t xml:space="preserve">הדרך לייחס את התמורה בין רכיבי העסקה דורשת </t>
  </si>
  <si>
    <t>נפרדת</t>
  </si>
  <si>
    <t>ואחריות מורחבת בנפרד) שיוכפלו בנתוני העסקה הספציפית</t>
  </si>
  <si>
    <t>אלפי ש״ח - רכיב קורקינט בלבד</t>
  </si>
  <si>
    <t>אחריות רגילה - אלפי יח׳ - בלי רכיב נפרד:</t>
  </si>
  <si>
    <t>סך ההכנסות מקורקינט בלבד - בנטרול רכיבים ״נלווים״:</t>
  </si>
  <si>
    <t xml:space="preserve">70 * 0.923 + 30 * 1 = </t>
  </si>
  <si>
    <t>מסקנה: ההכנסות מקורקינטים תסתכמנה ב-94,615 ש״ח. הטענה לפיה ההכנסה היא 93,000 ש״ח - לא נכונה.</t>
  </si>
  <si>
    <t xml:space="preserve">התשובה ל - Ward: הדיון שלנו בצורך בפיצול תמורה התעורר רק כאשר חברה ביצעה עסקה הכוללת </t>
  </si>
  <si>
    <t xml:space="preserve">שני רכיבים שבמהותם נפרדים (מכירת קורקינט מצד אחד, שירותי אחריות מורחבת מצד שני), </t>
  </si>
  <si>
    <t>ואז נדרשנו לבצע ייחוס פרופורציונלי של התמורה, לפי עסקה מקבילה שבה הרכיבים נפרדים לגמרי.</t>
  </si>
  <si>
    <t>לעומת זאת, אין דבר כזה להפריד מכירת מוצר מאחריות רגילה; האחריות הרגילה מחויבת מכח חוק,</t>
  </si>
  <si>
    <t>ולא ניתן למכור מוצר בלעדיה. מאליו יובן שבמצב כזה, לא נוכל למצוא שום עסקה מקבילה שבה המוצר</t>
  </si>
  <si>
    <t>נמכר בנפרד, והאחריות הרגילה נמכרת בנפרד, ובמצב כזה אין מקום לייחס פרופורציונלית את התמורה.</t>
  </si>
  <si>
    <t>בגין כל קורקינט ממונע שנמכר עם אחריות מורחבת, תכיר החברה בהתחייבות, בגין כל רכיבי האחריות (אחריות</t>
  </si>
  <si>
    <t>רגילה ואחריות מורחבת) במועד המכירה בסך של 277 ש״ח בלבד.</t>
  </si>
  <si>
    <t>תשובה לשאלה 2</t>
  </si>
  <si>
    <t>המיוחס לעסקה הכוללת אחריות מורחבת הוא בסך 277 ש״ח ליחידה. לעומת זאת, בנתוני השאלה נאמר מפורשות שרכיב</t>
  </si>
  <si>
    <t>האחריות הרגילה, בהתאם לצפי עלויות התיקונים בתקופת אחריות רגילה (חצי שנה) הוא 100 ש״ח בלבד. לכן, אין היגיון</t>
  </si>
  <si>
    <t>לייחס התחייבות בגין אחריות בסך 277 ש״ח לכל הקורקינטים שנמכרו, כולל אלו שבאחריות רגילה.</t>
  </si>
  <si>
    <t xml:space="preserve">למרות שלגמרי מספיק לנמק זאת כך, הרי שאפשר לקשר את הסוגיה הנ״ל גם ל - IAS 37, שהרי אחריות, והפרשה </t>
  </si>
  <si>
    <t>לאחריות - היא דוגמא מובהקת למצב שבו נכיר בהפרשה בגין התחייבות תלויה (נציג התחייבות בדוח) בהתאם לערך</t>
  </si>
  <si>
    <t>המיוחס לשווי האחריות בתקופת התוקף שלה.</t>
  </si>
  <si>
    <t>שווי אחריות</t>
  </si>
  <si>
    <t>אלפי יח׳ שנמכרו</t>
  </si>
  <si>
    <t>סה״כ הפרשה לאחריות בגין רכיב - אלפי ש״ח</t>
  </si>
  <si>
    <t>אחריות רגילה</t>
  </si>
  <si>
    <t>אחריות מורחבת</t>
  </si>
  <si>
    <t>סך ההפרשה שתוכר כהתחייבות בדוח על המצב הכספי</t>
  </si>
  <si>
    <t>בשנת 2018 תכיר החברה בהפרשה בגין התביעה בסך של 1,000,000 ש״ח וזאת למרות שלחברה קיים כיסוי ביטוחי</t>
  </si>
  <si>
    <t>מלא בגין כל העלויות שיתהוו, כתוצאה מהתביעה.</t>
  </si>
  <si>
    <t>נכון</t>
  </si>
  <si>
    <t>ציטוט 3</t>
  </si>
  <si>
    <r>
      <t xml:space="preserve">להערכת החברה בהתבסס על חוות דעת של יועציה המשפטיים </t>
    </r>
    <r>
      <rPr>
        <b/>
        <sz val="12"/>
        <color theme="1"/>
        <rFont val="David"/>
      </rPr>
      <t>צפוי</t>
    </r>
    <r>
      <rPr>
        <sz val="12"/>
        <color theme="1"/>
        <rFont val="David"/>
      </rPr>
      <t xml:space="preserve"> כי החברה תמצא אחראית לנזקים שנגרמו</t>
    </r>
  </si>
  <si>
    <t>תחילה - נשאלת השאלה - האם המונח ״היועצים המשפטיים חיוו דעתם וצפוי שהחברה תצטרך לשלם 1,000,000 ש״ח״</t>
  </si>
  <si>
    <t>עולה לגדר מידת הביטחון / המהימנות המצדיקה הכרה בהפרשה באופן עקרוני?</t>
  </si>
  <si>
    <t>התשובה חיובית. הפרשנות באנגלית למונח ״צפוי״ הוא likely  / probable כלומר רמת ביטחון גבוהה להחלטה ולסכומים.</t>
  </si>
  <si>
    <t>הסוגיה הבאה היא - האם יש להכיר בהפרשה בהינתן הביטוח?</t>
  </si>
  <si>
    <t>כלומר, יש להכיר בהפרשה, למרות שהמבטח הסכים לכיסוי / שיפוי בעד המחויבות</t>
  </si>
  <si>
    <t xml:space="preserve">בשנת 2018 תכיר החברה בהפרשה בגין התביעה, אולם הטיפול החשבונאי בתביעה ובכיסוי הביטוחי בגין </t>
  </si>
  <si>
    <t xml:space="preserve">התביעה עשוי להגדיל את הרווח של החברה בשנת 2018. </t>
  </si>
  <si>
    <t>שימו לב: ככלל, צודק עידו כאשר אומר שאין להכיר בנכסים תלויים בפני עצמם. אלא, שספציפית ההתייחסות לסוגיית</t>
  </si>
  <si>
    <t>השיפויים בגין התחייבויות שהוכרו נדונה במסגרת סעיפים ספציפיים בתקן שמאפשרים זאת (הכרה בנכס השיפוי).</t>
  </si>
  <si>
    <t>אלא שהכרה זו מוגבלת; ולעולם לא תירשם בסכום העולה על ההתחייבות שהוכרה, מה שמונע עלייה ברווח כתוצאה</t>
  </si>
  <si>
    <t>מהאירוע של התביעה.</t>
  </si>
  <si>
    <t>סיכום IAS 37 והדגמות נוספות לסגירת הפינות בנושא</t>
  </si>
  <si>
    <t>הפרשות והתחייבויות תלויות:</t>
  </si>
  <si>
    <t>כאשר עלולה להיווצר בעתיד יציאת הטבות כלכליות מהישות המדווחת, לשם סילוק (א) מחויבות קיימת או (ב)</t>
  </si>
  <si>
    <t>התחייבות שעצם קיומה תלוי בקיומו או אי קיומו של תנאי מתלה שהתרחשותו איננה ודאית או תלויה באירועים</t>
  </si>
  <si>
    <t>עתידיים שאיננה בשליטת הישות, אזי:</t>
  </si>
  <si>
    <t>אם המחויבות קיימת</t>
  </si>
  <si>
    <t>אם המחויבות קיימת אבל</t>
  </si>
  <si>
    <t xml:space="preserve">אם המחויבות עדיין לא </t>
  </si>
  <si>
    <t>וההסתברות ליציאת</t>
  </si>
  <si>
    <t>היא עשויה ליצור או שלא</t>
  </si>
  <si>
    <t>קיימת (פוטנציאלית)</t>
  </si>
  <si>
    <t>ההטבות גבוהה - probable</t>
  </si>
  <si>
    <t>ליצור יציאת הטבות</t>
  </si>
  <si>
    <t>או מחויבות בהווה אך כזו</t>
  </si>
  <si>
    <t>may or may not</t>
  </si>
  <si>
    <t>שלא צפויה להוביל ליציאת</t>
  </si>
  <si>
    <t>הטבות או שיציאת ההטבות</t>
  </si>
  <si>
    <t>היא בהסתברות קלושה</t>
  </si>
  <si>
    <t>remote</t>
  </si>
  <si>
    <t>תוכר התחייבות בגין הפרשה.</t>
  </si>
  <si>
    <t xml:space="preserve">לא תוכר התחייבות בגין </t>
  </si>
  <si>
    <t>יבוצע גילוי לגבי מאפייני</t>
  </si>
  <si>
    <t>הפרשה.</t>
  </si>
  <si>
    <t>ההפרשה.</t>
  </si>
  <si>
    <t>יבוצע גילוי לגבי התחייבות</t>
  </si>
  <si>
    <t xml:space="preserve">לא יבוצע גילוי לגבי </t>
  </si>
  <si>
    <t>תלויה.</t>
  </si>
  <si>
    <t>התחייבות תלויה.</t>
  </si>
  <si>
    <t xml:space="preserve">אם, עקרונית, קיימת התחייבות ברורה שתיווצרנה יציאה של הטבות כלכליות בעקבותיה, אך אין שום דרך לאמוד </t>
  </si>
  <si>
    <t>מהימנה את גובה ההטבה, יינתן גילוי בגין התחייבות תלויה ללא הכרה כאמור.</t>
  </si>
  <si>
    <t>נכסים תלויים:</t>
  </si>
  <si>
    <t xml:space="preserve">כאשר, כתוצאה מאירועי עבר, מתקיים נכס פוטנציאלי שקיומו יוגדר סופית רק כתוצאה מקיום או אי קיום של </t>
  </si>
  <si>
    <t>תנאי מתלה שאיננו בשליטה של הישות המדווחת, אזי:</t>
  </si>
  <si>
    <t>אם זרימת ההטבות היא</t>
  </si>
  <si>
    <t xml:space="preserve">אם זרימת ההטבות </t>
  </si>
  <si>
    <t>אם זרימת ההטבות איננה</t>
  </si>
  <si>
    <t>קרובה לוודאית</t>
  </si>
  <si>
    <t>בהסתברות גבוהה - probable</t>
  </si>
  <si>
    <t>צפויה בהסתברות גבוהה</t>
  </si>
  <si>
    <t>יש להכיר בנכס, כרגיל.</t>
  </si>
  <si>
    <t>אין להכיר בנכס.</t>
  </si>
  <si>
    <t>זהו לא נכס תלוי.</t>
  </si>
  <si>
    <t>יש להעניק גילוי לנכס.</t>
  </si>
  <si>
    <t>אין להעניק גילוי לנכס.</t>
  </si>
  <si>
    <t>גוזלי: איך ייתכן שמצד אחד התקן כותב בשחור על גבי לבן שאין הכרה בנכסים תלויים; ומאידך הטענה שיש להכיר</t>
  </si>
  <si>
    <t>בנכסים שזרימת ההטבות מהם ״קרובה לודאית״ (אך לא ודאית). זה לא מסתדר ברמה המושגית.</t>
  </si>
  <si>
    <t xml:space="preserve">תשובה: למעשה, שאלה זו מעידה על הצורך בחידוד המונח ״קרובה לודאית״. המשמעות של המונח בהקשר זה </t>
  </si>
  <si>
    <r>
      <t xml:space="preserve">שנקרא virtually certain, היא שתרחיש שבמסגרתו </t>
    </r>
    <r>
      <rPr>
        <b/>
        <u/>
        <sz val="12"/>
        <color theme="1"/>
        <rFont val="David"/>
      </rPr>
      <t>לא תתקבלנה ההטבות</t>
    </r>
    <r>
      <rPr>
        <b/>
        <sz val="12"/>
        <color theme="1"/>
        <rFont val="David"/>
      </rPr>
      <t xml:space="preserve"> הוא בגדר תרחיש </t>
    </r>
    <r>
      <rPr>
        <b/>
        <u/>
        <sz val="12"/>
        <color theme="1"/>
        <rFont val="David"/>
      </rPr>
      <t>לא סביר</t>
    </r>
    <r>
      <rPr>
        <b/>
        <sz val="12"/>
        <color theme="1"/>
        <rFont val="David"/>
      </rPr>
      <t xml:space="preserve">. </t>
    </r>
  </si>
  <si>
    <t>הדגמה קטנה:</t>
  </si>
  <si>
    <t>במדינת ״רזרוזים״ ההליך הפרלמנטרי לחקיקה כולל שלושה שלבים: קריאה ראשונה, קריאה שניה וקריאה שלישית.</t>
  </si>
  <si>
    <t>מבחינה משפטית, אפשר לפסול את החקיקה בכל שלב. אלא שבפועל, הליך הקריאה השלישית הוא ״חותמת גומי״,</t>
  </si>
  <si>
    <t>ומבין 30,000 חוקים שנחקקו במדינה מאז היווסדה, רק חוק אחד נשלל בקריאה שלישית.</t>
  </si>
  <si>
    <t>המדינה העבירה הצעת חוק להעניק לעסקים מענק בגין קורונה. החוק עבר בקריאה ראשונה ושניה עד לתום שנת</t>
  </si>
  <si>
    <t>הדיווח. האם ניתן להכיר בנכס? האם זהו נכס תלוי?</t>
  </si>
  <si>
    <t>התשובה:</t>
  </si>
  <si>
    <t>כן. ניתן להכיר בנכס. בהתאם לנתונים המפורטים בשאלה, בהחלט ניתן לומר שתרחיש של פסילת החוק בקריאה</t>
  </si>
  <si>
    <t xml:space="preserve">נכס רגיל, ואיננו נחשב נכס תלוי כלל. </t>
  </si>
  <si>
    <t>כמובן, שאם בשאלה אין פרטים רלוונטיים מתוכם ניתן להסיק על אי סבירותו של פסילת החקיקה</t>
  </si>
  <si>
    <t>בקריאה שלישית, אז מדובר בנכס תלוי שלא יוכר.</t>
  </si>
  <si>
    <t>שיפויים</t>
  </si>
  <si>
    <t>שיפויים מתייחסים למצב שבו חלק או כל ההוצאות הנדרשות כדי ליישב הפרשה צפויות לזכות לשיפוי מצד שלישי.</t>
  </si>
  <si>
    <t>במצב כזה, נפריד בין שלושה מצבים.</t>
  </si>
  <si>
    <t>לישות אין מחויבות לסלק</t>
  </si>
  <si>
    <t xml:space="preserve">לישות קיימת מחויבות </t>
  </si>
  <si>
    <t>ליישות קיימת מחויבות</t>
  </si>
  <si>
    <t xml:space="preserve">בעצמה את המחויבות </t>
  </si>
  <si>
    <t>לסלק בעצמה את ההפרשה</t>
  </si>
  <si>
    <t>אלא השיפוי יגיע מידית</t>
  </si>
  <si>
    <r>
      <t xml:space="preserve">אבל השיפוי </t>
    </r>
    <r>
      <rPr>
        <b/>
        <sz val="12"/>
        <color theme="1"/>
        <rFont val="David"/>
      </rPr>
      <t>קרוב לודאי</t>
    </r>
  </si>
  <si>
    <r>
      <t xml:space="preserve">והשיפוי </t>
    </r>
    <r>
      <rPr>
        <b/>
        <sz val="12"/>
        <color theme="1"/>
        <rFont val="David"/>
      </rPr>
      <t>איננו</t>
    </r>
    <r>
      <rPr>
        <sz val="12"/>
        <color theme="1"/>
        <rFont val="David"/>
      </rPr>
      <t xml:space="preserve"> קרוב לודאי</t>
    </r>
  </si>
  <si>
    <t>מאת המשפה לצד שכלפיו</t>
  </si>
  <si>
    <t>במצב שבו ההפרשה תסולק</t>
  </si>
  <si>
    <t>נוצרת המחויבות</t>
  </si>
  <si>
    <t>לא מוכרת מחויבות בספרי</t>
  </si>
  <si>
    <r>
      <t xml:space="preserve">השיפוי </t>
    </r>
    <r>
      <rPr>
        <b/>
        <sz val="12"/>
        <color theme="1"/>
        <rFont val="David"/>
      </rPr>
      <t>מוכר</t>
    </r>
    <r>
      <rPr>
        <sz val="12"/>
        <color theme="1"/>
        <rFont val="David"/>
      </rPr>
      <t xml:space="preserve"> כנכס נפרד </t>
    </r>
  </si>
  <si>
    <t>השיפוי הצפוי לא מוכר כנכס.</t>
  </si>
  <si>
    <t xml:space="preserve">הישות המדווחת ואין </t>
  </si>
  <si>
    <t xml:space="preserve">בדוח על המצב הכספי </t>
  </si>
  <si>
    <t>להכיר בדוח רווח והפסד</t>
  </si>
  <si>
    <t xml:space="preserve">וניתן לקזז בפן התוצאתי את </t>
  </si>
  <si>
    <t>יינתן גילוי בעד השיפוי</t>
  </si>
  <si>
    <t>הסכום המוכר שלו כנגד</t>
  </si>
  <si>
    <t xml:space="preserve">הצפוי. </t>
  </si>
  <si>
    <t>אין צורך בגילוי.</t>
  </si>
  <si>
    <t>ההוצאה בגין הפריט יוצר</t>
  </si>
  <si>
    <t>ההפרשה בדוח על הרווח</t>
  </si>
  <si>
    <t xml:space="preserve">הכולל. </t>
  </si>
  <si>
    <t>בכל מקרה, לא יוכר</t>
  </si>
  <si>
    <t xml:space="preserve">שיפוי בסכום העולה על </t>
  </si>
  <si>
    <t>בהיבט סכום ומידע נוסף</t>
  </si>
  <si>
    <t>רלוונטי</t>
  </si>
  <si>
    <t>עץ החלטה - הכרה / גילוי בהתחייבויות תלויות</t>
  </si>
  <si>
    <t>מטרת עץ החלטה זה היא לסכם את העקרונות המרכזיים להכרה שבבסיס התקן.</t>
  </si>
  <si>
    <t>כן</t>
  </si>
  <si>
    <t>"in rare cases, it is not clear whether there is a present obligation. In these cases, a past event is deemed</t>
  </si>
  <si>
    <t>to give rise to a present obligation if, taking account of all available evidence, it is more likely than not</t>
  </si>
  <si>
    <t>that a present obligation exists at the end of the reporting period"</t>
  </si>
  <si>
    <t>דוגמאות</t>
  </si>
  <si>
    <t xml:space="preserve">בכל הדוגמאות להלן יש להניח שניתן לאמוד מהימנה כל יציאה כלכלית צפויה. </t>
  </si>
  <si>
    <t>שאלה 1 - אחריות</t>
  </si>
  <si>
    <t xml:space="preserve">יצרן מעניק אחריות במעמד המכירה לרוכשי מוצריו. בהתאם לתנאי החוזה, היצרן מחויב לתקן או להחליף פגמים </t>
  </si>
  <si>
    <t>בייצור ככל שהשתקפו בכושר הפעולה של המוצר במהלך 3 השנים מתאריך המכירה. בהתאם לנסיון העבר, סביר</t>
  </si>
  <si>
    <t xml:space="preserve">יותר מאשר שלא (probable), שהישות תצטרך לטפל בתביעות לתיקון מוצריה בתקופת האחריות. </t>
  </si>
  <si>
    <t>נדרש א:</t>
  </si>
  <si>
    <t>האם זו מחויבות בהווה כתוצאה מאירוע ״מחייב״ שכבר התחולל בעבר? נמקו.</t>
  </si>
  <si>
    <t>תשובה א:</t>
  </si>
  <si>
    <t xml:space="preserve">האירוע המחייב הוא עצם המכירה. המכירה היא היוצרת צפי ליציאת הטבות כלכליות שמקורה בתביעות הצפויות </t>
  </si>
  <si>
    <t>בגין אחריות.</t>
  </si>
  <si>
    <t>נדרש ב:</t>
  </si>
  <si>
    <t xml:space="preserve">האם צפויה יציאה של הטבה כלכלית? בפרט, רואה החשבון של החברה טוען שאין דרך לדעת, בגין כל מכירה, </t>
  </si>
  <si>
    <t>את ההסתברות הספציפית או את היציאה הספציפית בגינה, ובגין רבים מהמוצרים לא מגיעות תביעות אחריות.</t>
  </si>
  <si>
    <t>חוו דעתכם.</t>
  </si>
  <si>
    <t>תשובה ב:</t>
  </si>
  <si>
    <t>רואה החשבון טועה. הטבה כלכלית אכן צפויה לצאת. עצם העובדה שהסתברות הקלקול של כל פריט בנפרד איננה ידועה,</t>
  </si>
  <si>
    <t>לא צריכה למנוע הכרה בהתחייבות בהתאם לסך המכירות והאומדן ליציאות בגין תביעות על כלל הפריטים כאמור.</t>
  </si>
  <si>
    <t>נדרש ג:</t>
  </si>
  <si>
    <t>האם לבצע הכרה בהפרשה בדוחות?</t>
  </si>
  <si>
    <t>אכן, תוכר הפרשה לאחריות כהתחייבות בדיווח. זכרו: הצורך ברף הסתברותי של virtually certain הוא עבור נכסים,</t>
  </si>
  <si>
    <t xml:space="preserve">ולא עבור התחייבויות - שעבורן רף של probable ואומדן הטבות כלכליות הוא מספק. </t>
  </si>
  <si>
    <t>שאלה 2 - זיהום</t>
  </si>
  <si>
    <t>ישות בתעשיית הנפט מייצרת אגב פעילותה זיהום משמעותי אך מבצעת פעולות לטיהור אך ורק כאשר היא נדרשת</t>
  </si>
  <si>
    <t xml:space="preserve">לעשות כן בהתאם לדרישות החוק במדינה שבה היא פועלת. באחת מבין המדינות שבהן היא מקיימת פעילות, </t>
  </si>
  <si>
    <t>אין כל חקיקה מחייבת לעניין הצורך בטיהור, והישות זיהמה בטירוף את המדינה שנים ארוכות. ב-31.12 של שנה</t>
  </si>
  <si>
    <t xml:space="preserve">מסוימת החל הליך חקיקה שהשלמתו ודאית כמעט לחלוטין Virtually Certain לגבי הצורך בטיהור בתוקף רטרוספקטיבי. </t>
  </si>
  <si>
    <t>אקט הזיהום הוא האירוע המחייב. כמובן, שלא ניתן היה לראות בו כמחייב, כל עוד לא הושלם למעשה הליך חקיקה</t>
  </si>
  <si>
    <t xml:space="preserve">שיוצר את התנאים לחיוב הישות בגין זיהום זה. </t>
  </si>
  <si>
    <t>האם צפויה יציאה של הטבות כלכליות?</t>
  </si>
  <si>
    <t>צפויות להיווצר עלויות טיהור - על הזיהום החברה תצטרך לשלם, בין אם בצורה ישירה, בין אם בדרך של נשיאה בעלויות</t>
  </si>
  <si>
    <t>הטיהור ככל שתיווצרנה.</t>
  </si>
  <si>
    <t xml:space="preserve">נדרש ג:  </t>
  </si>
  <si>
    <t>האם להכיר בהתחייבות? מהם הרכיבים של אומדן סכומה (אין צורך כמובן בחישוב מספרי, רק להסביר כיצד הדבר</t>
  </si>
  <si>
    <t xml:space="preserve">ייקבע). </t>
  </si>
  <si>
    <t>צפי ליציאת הטבות - יש, בהסתברות גבוהה.</t>
  </si>
  <si>
    <t>מחויבות קיימת - יש, הליך החקיקה הושלם למעשה.</t>
  </si>
  <si>
    <t>אומדן מהימן - יש, נתון בראש השאלה שניתן לאמוד מהימנה את כל ההטבות הכלכליות היוצאות הצפויות.</t>
  </si>
  <si>
    <t>מכל אלו עולה שיש להכיר בהפרשה, וכמובן סכומה ישקף את העלויות הצפויות לטיהור ו/או הקנסות שבהן תישא החברה</t>
  </si>
  <si>
    <t>בהקשר זה.</t>
  </si>
  <si>
    <t>שאלה 3 - מחויבות?</t>
  </si>
  <si>
    <t>מסמך מדיניות של אחריות תאגידית במסגרתו ציינה שהיא רואה ערך עליון בשמירה על איכות הסביבה ולכן</t>
  </si>
  <si>
    <t>בכוונתה לבצע טיהור מלא של כל האספקטים של הזיהום שהיא אחראית להם. בעבר, הישות דאגה לכבד את מכלול</t>
  </si>
  <si>
    <t xml:space="preserve">ניירות המדיניות שלה לגבי פעילויות הקשורות לאיכות הסביבה וקיימות. </t>
  </si>
  <si>
    <t xml:space="preserve">האירוע המחייב הוא עצם הזיהום. יחד עם זאת, בהינתן העובדה שהמחויבות בגין הזיהום נולדה רק לאור קיומו </t>
  </si>
  <si>
    <t>של נייר המדיניות שהחברה עומדת בו באופן היסטורי ובעקביות - נוצר נוהג שמהווה עוגן של הסתמכות מצד חיצוניים</t>
  </si>
  <si>
    <t>לגבי ציפיות התנהגות או ביצוע של הישות המדווחת. המחויבות שנוצרה כאן היא לפיכך מחויבות משתמעת (ולא חוזית),</t>
  </si>
  <si>
    <r>
      <t xml:space="preserve">לפי IAS 37 מחוייבות </t>
    </r>
    <r>
      <rPr>
        <b/>
        <sz val="12"/>
        <rFont val="David"/>
      </rPr>
      <t>משתמעת</t>
    </r>
    <r>
      <rPr>
        <sz val="12"/>
        <rFont val="David"/>
      </rPr>
      <t xml:space="preserve"> היא בגדר מחוייבות לכל דבר. </t>
    </r>
  </si>
  <si>
    <t>כן, לאור ההיסטוריה שיוצרת מחויבות משתמעת בהקשר זה, והצפי בהסתברות מספקת (probable) לקיומה.</t>
  </si>
  <si>
    <t>תוכר התחייבות (הפרשה) בדוחות הכספיים:</t>
  </si>
  <si>
    <t>מחויבות קיימת - יש, גם מחויבות משתמעת היא מחויבות לכל דבר ועניין בהקשר זה.</t>
  </si>
  <si>
    <t>שאלה 4 - מדיניות זיכויים</t>
  </si>
  <si>
    <t xml:space="preserve">חנות קמעונאית מנהיגה מדיניות של זיכוי לקוחות שאינם מרוצים ממוצריה, וזאת למרות שאין לה מחויבות </t>
  </si>
  <si>
    <t xml:space="preserve">חוקית לכך. המדיניות ידועה לכלל הרוכשים. </t>
  </si>
  <si>
    <t>ההנחה הפרשנית שלנו היא, שהמדיניות כבר קיימת וידועה. במצב שכזה, האקט המחייב הוא אקט המכירה, שמגבש</t>
  </si>
  <si>
    <t>מחויבות משתמעת לזיכוי לאור קיומה של המדיניות. זכרו, כי מחויבות משתמעת נוצרת גם בהיעדר הסכם חוזי לאור</t>
  </si>
  <si>
    <t xml:space="preserve">הסתמכות של צדדים שלישיים (במקרה זה - לקוחות) על המדיניות כאמור. </t>
  </si>
  <si>
    <t>רז: שי, מעניין לחשוב על זה גם מצד הלקוחות - הרי עצם העובדה שבחרו במוצר, יכולה לנבוע לפחות באופן חלקי</t>
  </si>
  <si>
    <t xml:space="preserve">מהסתמכות על מדיניות זו. </t>
  </si>
  <si>
    <t>היציאה הצפויה אכן קיימת, בהתאם לצפי החברה לזיכויים המתבקשים מלקוחות (כפרופורציה מהמכירות, למשל).</t>
  </si>
  <si>
    <t>מכל אלו עולה שיש להכיר בהפרשה, וכמובן סכומה ישקף את סכומי ההחזר הצפויים ללקוחות.</t>
  </si>
  <si>
    <t>הרצאה 8 - חשבונאות פיננסית ב - התחלת דיון בתלויות</t>
  </si>
  <si>
    <t xml:space="preserve">וזאת למרות שהחידוש אפשרי בעלות בלתי משמעותית כנתון. </t>
  </si>
  <si>
    <r>
      <t xml:space="preserve">ראשית, נכון ליום </t>
    </r>
    <r>
      <rPr>
        <b/>
        <sz val="12"/>
        <color rgb="FF0070C0"/>
        <rFont val="David"/>
      </rPr>
      <t>1.1.2020 על פי נתוני השאלה</t>
    </r>
    <r>
      <rPr>
        <sz val="12"/>
        <color theme="1"/>
        <rFont val="David"/>
      </rPr>
      <t>, מתקיימים סממנים לירידת ערך. משכך, יש לבחון עקרונית את הסכום</t>
    </r>
  </si>
  <si>
    <t xml:space="preserve">ֿשהואיל והסכום בר ההשבה (סב״ה) ספציפית ליום הזה (1.1.20) - לא נתון; והואיל והסב״ה לתאריך הקרוב ביותר, ליום 31/12/2019 </t>
  </si>
  <si>
    <t xml:space="preserve">נתבסס עליו. </t>
  </si>
  <si>
    <t>הרי שברמה הכמותית ״אין סיכוי״ שתיווצר ירידת ערך כלכלית מיד ב-1.1.2020.</t>
  </si>
  <si>
    <t>אמרה מקי:</t>
  </si>
  <si>
    <t>״יש סממנים, אין ירידה״</t>
  </si>
  <si>
    <t>סכום הסב״ה למועד זה נתון כ- 650,000, גבוה מהותית מערך הספרים (600,000):</t>
  </si>
  <si>
    <r>
      <t xml:space="preserve">זאת, שכן בשאלה נרשם: ״שינויים לרעה בסביבה העסקית״ ומעבר לכך - </t>
    </r>
    <r>
      <rPr>
        <b/>
        <sz val="12"/>
        <color rgb="FFFF0000"/>
        <rFont val="David"/>
      </rPr>
      <t>שנפלה החלטה בדבר אי חידוש הזיכיון</t>
    </r>
    <r>
      <rPr>
        <sz val="12"/>
        <color rgb="FFFF0000"/>
        <rFont val="David"/>
      </rPr>
      <t xml:space="preserve">, </t>
    </r>
  </si>
  <si>
    <t>פאדי צודק</t>
  </si>
  <si>
    <t>החשד יתבטא</t>
  </si>
  <si>
    <t>במעבר לאורך</t>
  </si>
  <si>
    <t>חיים מוגדר</t>
  </si>
  <si>
    <t>ובדיקת סב״ה</t>
  </si>
  <si>
    <t>ועדיין עומדים בהגדרה, נדרש ליישם הערכה מחדש - כלומר בשלב ראשון איפוס הפחתה נצברת:</t>
  </si>
  <si>
    <t>נפנה לביצוע השערוך (שערוכים בשונה מבדיקת י״ע, הם ביחס לשווי ההוגן ולא לסב״ה):</t>
  </si>
  <si>
    <t xml:space="preserve">כאשר: 600,000 זהו ערך הספרים ליום 31/12/2019, ו-75,000 זו ההפחתה שבוצעה ב-2020. </t>
  </si>
  <si>
    <t>כל ההפחתה הנצברת נוצרה השנה בעקבות רישום</t>
  </si>
  <si>
    <t>הוצאות ההפחתה לעיל.</t>
  </si>
  <si>
    <t>בדיקת סב״ה לאור סממן שלילי - הפסקת הסחרות פעיל ״ממחר״</t>
  </si>
  <si>
    <t>סב״ה - 31/12/2020 נתון</t>
  </si>
  <si>
    <t>לפי ערך הספרים שנקבע על בסיס השווי ההוגן במועד השערוך</t>
  </si>
  <si>
    <r>
      <t xml:space="preserve">הואיל וירידת הערך הנוספת משמעותית מאד, </t>
    </r>
    <r>
      <rPr>
        <b/>
        <u/>
        <sz val="12"/>
        <color theme="1"/>
        <rFont val="David"/>
      </rPr>
      <t>לא נוכל להניח</t>
    </r>
    <r>
      <rPr>
        <b/>
        <sz val="12"/>
        <color theme="1"/>
        <rFont val="David"/>
      </rPr>
      <t xml:space="preserve"> בשום אופן וצורה שכולה תיזקף כנגד קרן ההון.</t>
    </r>
  </si>
  <si>
    <t>י״פ קרן הערכה מחדש ״ברוטו״ לפני מסים - ליום 31/12/2019:</t>
  </si>
  <si>
    <t>הסכום שדווח ב-2019:</t>
  </si>
  <si>
    <t>תקנון לברוטו:</t>
  </si>
  <si>
    <t xml:space="preserve">112,794 / (1 - 23%) = </t>
  </si>
  <si>
    <t>x * (1 - 23%) = 112,794</t>
  </si>
  <si>
    <t>x = 112,794/(1 - 23%)</t>
  </si>
  <si>
    <t>הפחתת קרן הערכה כנגד עודפים ברוטו:</t>
  </si>
  <si>
    <t>הפחתת הקרן במונחי ״נטו״ (י״פ חלקי 8 שנים שנותרו) הסתכמה ב-14,099 ש״ח.</t>
  </si>
  <si>
    <t>אלא שכאשר מתקננים את הקרן למונחים ברוטו חובה עלינו לתקנן גם את כל ההשפעות הנוספות למונחים</t>
  </si>
  <si>
    <t xml:space="preserve">ברוטו, וזאת ע״י חלוקתן ב-1 פחות שיעור המס 23%. </t>
  </si>
  <si>
    <t>הקיטון שנבע מהשערוך</t>
  </si>
  <si>
    <r>
      <t xml:space="preserve">יתרת קרן </t>
    </r>
    <r>
      <rPr>
        <b/>
        <sz val="12"/>
        <color theme="1"/>
        <rFont val="David"/>
      </rPr>
      <t>ברוטו</t>
    </r>
    <r>
      <rPr>
        <sz val="12"/>
        <color theme="1"/>
        <rFont val="David"/>
      </rPr>
      <t xml:space="preserve"> לפני סב״ה</t>
    </r>
  </si>
  <si>
    <t>ל-31.12.2020 לפני בדיקת סממני ירידת ערך וחישוב סב״ה.</t>
  </si>
  <si>
    <t xml:space="preserve">המשמעות: אם הוכרה ירידת ערך נוספת, בעקבות בדיקת סב״ה, בסכום 175,000 ש״ח, עלינו לפצל </t>
  </si>
  <si>
    <t>את ההתייחסות אליה לשני חלקים:</t>
  </si>
  <si>
    <t>זקיפה כקיטון</t>
  </si>
  <si>
    <t>בקרן</t>
  </si>
  <si>
    <t>כל הירידה ״מעבר״</t>
  </si>
  <si>
    <t>כהפרשה להפסד:</t>
  </si>
  <si>
    <t xml:space="preserve">175,000 - 78,175 = </t>
  </si>
  <si>
    <t>אפשרות נוספת, למי שנוח לו: אם אני כבר יודעת שיתרת הקרן ברוטו היא 146,486, וכן שיתרת אורך החיים</t>
  </si>
  <si>
    <t>היא 8 שנים, אזי אני יודעת שההפחתה במונחי ברוטו:</t>
  </si>
  <si>
    <t xml:space="preserve">148,486/8 = </t>
  </si>
  <si>
    <t>איפוס הקרן:</t>
  </si>
  <si>
    <t>הכרה בהפסד:</t>
  </si>
  <si>
    <r>
      <t>הפחתת התחייבות למס נדחה-</t>
    </r>
    <r>
      <rPr>
        <b/>
        <sz val="12"/>
        <rFont val="David"/>
      </rPr>
      <t>רוו״ה</t>
    </r>
    <r>
      <rPr>
        <sz val="12"/>
        <rFont val="David"/>
      </rPr>
      <t xml:space="preserve"> בקצב הפחת:</t>
    </r>
  </si>
  <si>
    <r>
      <t xml:space="preserve">איפוס מוחלט של קרן ההערכה מחדש - </t>
    </r>
    <r>
      <rPr>
        <b/>
        <sz val="12"/>
        <rFont val="David"/>
      </rPr>
      <t>כנגד רווח כולל אחר</t>
    </r>
    <r>
      <rPr>
        <sz val="12"/>
        <rFont val="David"/>
      </rPr>
      <t>:</t>
    </r>
  </si>
  <si>
    <r>
      <t xml:space="preserve">ההשפעה של ירידת ערך נוספת שנזקפה </t>
    </r>
    <r>
      <rPr>
        <b/>
        <sz val="12"/>
        <rFont val="David"/>
      </rPr>
      <t>לרווח והפסד</t>
    </r>
  </si>
  <si>
    <r>
      <t xml:space="preserve">על פי נתוני השאלה בשנה זו 2021 השוק </t>
    </r>
    <r>
      <rPr>
        <u/>
        <sz val="12"/>
        <color theme="1"/>
        <rFont val="David"/>
      </rPr>
      <t>איננו פעיל</t>
    </r>
    <r>
      <rPr>
        <sz val="12"/>
        <color theme="1"/>
        <rFont val="David"/>
      </rPr>
      <t xml:space="preserve">. לפיכך, אין להפעיל את מודל השערוך </t>
    </r>
    <r>
      <rPr>
        <b/>
        <sz val="12"/>
        <color theme="1"/>
        <rFont val="David"/>
      </rPr>
      <t>בשום מקרה</t>
    </r>
    <r>
      <rPr>
        <sz val="12"/>
        <color theme="1"/>
        <rFont val="David"/>
      </rPr>
      <t xml:space="preserve">. </t>
    </r>
  </si>
  <si>
    <t xml:space="preserve">    הפחתה שיטתית לאחר ירידת ערך שנזקפה להפרשה תכלול גם הפחתת ההפרשה (פייר ומוחמד).</t>
  </si>
  <si>
    <t>בדיקת סב״ה בהתקיים סממנים פוטנציאליים לעליית ערך - בנתוני השאלה סיפרו שחלה ״התעוררות בשוק״</t>
  </si>
  <si>
    <t>מדוע סב״ה, שי? מדוע לא שווי הוגן?</t>
  </si>
  <si>
    <t xml:space="preserve">התשובה: שווי הוגן כשלעצמו לא רלוונטי אם לא מיישמים את מודל הערכה מחדש. </t>
  </si>
  <si>
    <t>והואיל ואין שוק פעיל, לא ניתן ליישם את מודל ההערכה מחדש, ולא נשתמש בשווי ההוגן כלל.</t>
  </si>
  <si>
    <t>יחד עם זאת, כן נוכל להשתמש בסב״ה לצרכים של בדיקת עליית ערך.</t>
  </si>
  <si>
    <t>סב״ה - נתון בשאלה, ליום 31/12/2021</t>
  </si>
  <si>
    <t>התעוררות בישבני</t>
  </si>
  <si>
    <t xml:space="preserve">300,000 - 42,857 = </t>
  </si>
  <si>
    <t>מדוע הפקודה כה פשוטה? מדוע כאן לא נדרש לפצל בין תנועה כנגד קרן הון ותנועה כנגד רווח והפסד (הוצ׳ / הכנסות מסים נדחים)?</t>
  </si>
  <si>
    <t>משום שלא נגענו בשום צורה בקרן ההון וכל התנועה בהפרש הזמני נובעת משני גורמים:</t>
  </si>
  <si>
    <t xml:space="preserve">א. פערי הפחתה - כנגד רווח והפסד.           ב. פערי ירידת ערך ברווח והפסד. </t>
  </si>
  <si>
    <t>בשיעורים הבאים</t>
  </si>
  <si>
    <t>הרצאה 9 - חשבונאות פיננסית ב - העמקה משמעותית יותר בתלויות</t>
  </si>
  <si>
    <t>הרצאה 10 - חשבונאות פיננסית ב - תרגול תלויות וסיכום תיאורטי</t>
  </si>
  <si>
    <t>הפרשה היא, בהקשר ל - IAS 37:</t>
  </si>
  <si>
    <t>התרחשותן לא זניחה</t>
  </si>
  <si>
    <t>פוטנציאלית מהותית</t>
  </si>
  <si>
    <t>נתון</t>
  </si>
  <si>
    <t>יחידה עם אחריות מורחבת - אלפי יח׳:</t>
  </si>
  <si>
    <t>יחידה עם אחריות רגילה - אלפי יח׳:</t>
  </si>
  <si>
    <t>סה״כ - נתון</t>
  </si>
  <si>
    <t>החלק היחסי בגין אחריות בעסקה הנפרדת:</t>
  </si>
  <si>
    <t xml:space="preserve">0.3 / 1.3 = </t>
  </si>
  <si>
    <r>
      <rPr>
        <sz val="12"/>
        <color rgb="FFFF0000"/>
        <rFont val="David"/>
      </rPr>
      <t>23.08%</t>
    </r>
    <r>
      <rPr>
        <sz val="12"/>
        <color theme="1"/>
        <rFont val="David"/>
      </rPr>
      <t xml:space="preserve"> * 1.2 = </t>
    </r>
  </si>
  <si>
    <t>בעד הקורקינט PN</t>
  </si>
  <si>
    <t>הנדונה - ובפרט בתמורה של העסקה הספציפית הנדונה.</t>
  </si>
  <si>
    <t>התחייבות בגין אחריות תוכר באופן הגיוני בהתאם למשך האחריות, שקובע גם את שוויה. אנו ראינו כי רכיב האחריות</t>
  </si>
  <si>
    <t>עקרונית: ההפרשה צריכה להיות מחושבת בכפוף לצפי המהימן של עלויות התיקונים בתקופת האחריות.</t>
  </si>
  <si>
    <t>בנתוני השאלה נאמר מפורשות שבגין מחצית שנת האחריות הראשונה (תקופת האחריות הרגילה) צפי עלויות התיקונים</t>
  </si>
  <si>
    <t>הוא בסך 100 ש״ח.</t>
  </si>
  <si>
    <t>לגבי האחריות המורחבת: נשאלת השאלה, מהו צפי התיקונים בתקופתה. ובשאלה עצמה לא נאמר דבר לגבי עלויות התיקונים</t>
  </si>
  <si>
    <t>הללו. כברירת מחדל השווי של רכיב האחריות הוא גם צפי עלויות התיקון בתקופת האחריות.</t>
  </si>
  <si>
    <t>לכיסוי מלוא עלויות התביעה, ככל שיידרש. בנוסף, חברת הביטוח אף מעריכה כי תשפה את החברה ב-20%</t>
  </si>
  <si>
    <t xml:space="preserve">מעל סכום היציאה הצפויה. </t>
  </si>
  <si>
    <t>הטענה שגויה: הרווח לא יכול לגדול משום שנכס השיפוי מוגבל לגובה ההפרשה</t>
  </si>
  <si>
    <t>שלישית הוא אירוע בלתי סביר. לשון אחרת, קיום ההטבה הוא בגדר virtually certain (ודאי למעשה). הנכס שיוכר הוא למעשה</t>
  </si>
  <si>
    <t>נשאלת השאלה, האם נדל״ן שכזה (המוחזק לזמן ארוך) הוא לא רכוש קבוע (במידה ומוחזק תקופה ממושכת)?</t>
  </si>
  <si>
    <t>דגש פאדי: אם חברה מחזיקה בנדל״ן ומשתמשת בו לצרכיה, אך טוענת שהמטרה העיקרית שלו היא רווח מעליית ערך,</t>
  </si>
  <si>
    <t>פרופיל (מאפיינים) של הסיכונים (מה עלול לקרות) וההטבות (הערך שנפיק) הנובעות מרכוש קבוע שונה לחלוטין מזה של נדל״ן להשקעה.</t>
  </si>
  <si>
    <t xml:space="preserve">יורד, אין השפעה שלילית משמעותית לירידת שווי הפריט על מצבה הכספי של הישות ו/או על יכולה לתפקד ולהניב הטבות כלכליות. </t>
  </si>
  <si>
    <t xml:space="preserve">למשל: לשי בע״מ יש מחשב Macbook Air 2020. המחשב עם מעבד M1. </t>
  </si>
  <si>
    <t xml:space="preserve">היום, קיימים כבר מחשבי M3. </t>
  </si>
  <si>
    <t>כתוצאה מכך, שווי מחשבו של שי ירד משמעותית (אם ינסה למכור, יקבל מעט מאד).</t>
  </si>
  <si>
    <t>יחד עם זאת: המחשב בהחלט ממשיך לשרת את שי בדיוק באותו היקף, נפח ומשימות - ללא שינוי כלשהו</t>
  </si>
  <si>
    <t xml:space="preserve">לרעה ביכולתו להניב הכנסות. </t>
  </si>
  <si>
    <t>מה אכפת לי שהשווי ירד? גם כי אינני מתכנן למכור, אבל גם כי עיקר הערך שנובע מהמחשב כלל</t>
  </si>
  <si>
    <t>לא קשור לשווי שלו אלא ל״מה ניתן לעשות באמצעותו״.</t>
  </si>
  <si>
    <r>
      <rPr>
        <u/>
        <sz val="12"/>
        <color theme="1"/>
        <rFont val="David"/>
      </rPr>
      <t>ברכוש קבוע</t>
    </r>
    <r>
      <rPr>
        <sz val="12"/>
        <color theme="1"/>
        <rFont val="David"/>
      </rPr>
      <t xml:space="preserve"> = ההטבה נובעת </t>
    </r>
    <r>
      <rPr>
        <b/>
        <sz val="12"/>
        <color theme="1"/>
        <rFont val="David"/>
      </rPr>
      <t>מביצוע הפעילות העסקית באמצעותו</t>
    </r>
    <r>
      <rPr>
        <sz val="12"/>
        <color theme="1"/>
        <rFont val="David"/>
      </rPr>
      <t>. אם הפעילות העסקית רווחית, גם אם שווי הנכס</t>
    </r>
  </si>
  <si>
    <r>
      <rPr>
        <u/>
        <sz val="12"/>
        <color theme="1"/>
        <rFont val="David"/>
      </rPr>
      <t>בנדל״ן להשקעה</t>
    </r>
    <r>
      <rPr>
        <sz val="12"/>
        <color theme="1"/>
        <rFont val="David"/>
      </rPr>
      <t xml:space="preserve"> = ההטבה נובעת ממכירה או מהכנסות שכירות. שני הגדלים הללו מתואמים עם ומושפעים משווי</t>
    </r>
  </si>
  <si>
    <t xml:space="preserve">נדל״ן להשקעה הוא בעצם נכס פאסיבי (לא תפעולי), שערכו נובע משוויו ולא מפעילות החברה באמצעותו. </t>
  </si>
  <si>
    <t>החברה מבצעת פעילות</t>
  </si>
  <si>
    <t>אינטנסיבית</t>
  </si>
  <si>
    <t>ללא</t>
  </si>
  <si>
    <t>נלווים</t>
  </si>
  <si>
    <t>שני בסיסי מדידה חליפיים (שניתן לבחור ביניהם) לנדל״ן להשקעה, הבחירה ביניהם היא לפי שיקול דעת החברה.</t>
  </si>
  <si>
    <t>ברגע שנבחר בסיס מדידה הוא ייושם באופן עקבי לגבי כל פריטי הנדל״ן להשקעה ללא יוצא מן הכלל.</t>
  </si>
  <si>
    <t>באופן אחיד. פריסה זו מובילה לצורך בייחוס ההקמה לנכס באופן פרופורציונלי, נרצה רק עלויות התקופה: 30/9/2013-31/12/2013.</t>
  </si>
  <si>
    <t>תחילת הקמה</t>
  </si>
  <si>
    <t>סיום הקמה</t>
  </si>
  <si>
    <t>תקופה: 24 חודשים, עלות כוללת: 3,000,000</t>
  </si>
  <si>
    <t>עלות ל-3 חודשים מתוך ה-24:</t>
  </si>
  <si>
    <t>3,000,000 * 3/24 = 375,000</t>
  </si>
  <si>
    <t>פקודת יומן לייחוס עלויות ההקמה למבנה:</t>
  </si>
  <si>
    <t>יתרות רלוונטיות - מה ייכלל בדוחות הכספיים (הדוח על המצב הכספי - מאזן, ודוח רווח והפסד בגין הפריט):</t>
  </si>
  <si>
    <t>הואיל והפריט איננו זמין לשימוש (בבנייה) ב-2013, אין להכיר בהוצאות פחת בגינו</t>
  </si>
  <si>
    <t>נכס רכוש קבוע במאזן</t>
  </si>
  <si>
    <t>עלות ל-12 חודשים (או שנה) מתוך ה-24:</t>
  </si>
  <si>
    <t>3,000,000 * 12/24 = 1,500,000</t>
  </si>
  <si>
    <t>פקודה לייחוס עלויות הקמה נוספות:</t>
  </si>
  <si>
    <t>יתרת הפריט ליום 31/12/2013</t>
  </si>
  <si>
    <t>הגידול בעלות הנובעת מהשקעה נוספת בהקמה ב-2014</t>
  </si>
  <si>
    <t>ההקמה מסתיימת</t>
  </si>
  <si>
    <t xml:space="preserve">3,000,000 * 9/24 = </t>
  </si>
  <si>
    <t>עלות ל-9 חודשים מתוך ה-24:</t>
  </si>
  <si>
    <t>נרשום פקודת יומן לייחוס עלויות ההקמה האחרונות לפריט החתיך שלנו:</t>
  </si>
  <si>
    <t>החלטה</t>
  </si>
  <si>
    <t>להשכיר</t>
  </si>
  <si>
    <t xml:space="preserve">קומה </t>
  </si>
  <si>
    <t>אחת</t>
  </si>
  <si>
    <t>פינוי</t>
  </si>
  <si>
    <t>העובדים</t>
  </si>
  <si>
    <t>מהמבנה</t>
  </si>
  <si>
    <t>השכרה</t>
  </si>
  <si>
    <t>בפועל</t>
  </si>
  <si>
    <t>עדיין לא נדל״ש</t>
  </si>
  <si>
    <t>החברה עדיין</t>
  </si>
  <si>
    <t>משתמשת!</t>
  </si>
  <si>
    <t>הפך לנדל״ש</t>
  </si>
  <si>
    <t>הפסקת שימוש</t>
  </si>
  <si>
    <t>ע״י החברה</t>
  </si>
  <si>
    <t>נתון סרק.</t>
  </si>
  <si>
    <t>לסיווג</t>
  </si>
  <si>
    <t>כנדל״ש</t>
  </si>
  <si>
    <t>השכרה בפועל</t>
  </si>
  <si>
    <r>
      <rPr>
        <b/>
        <sz val="12"/>
        <color theme="1"/>
        <rFont val="David"/>
      </rPr>
      <t>איננה</t>
    </r>
    <r>
      <rPr>
        <sz val="12"/>
        <color theme="1"/>
        <rFont val="David"/>
      </rPr>
      <t xml:space="preserve"> תנאי</t>
    </r>
  </si>
  <si>
    <t>הוצאות פחת ב-2015 (כי הפריט עדיין רכוש קבוע)</t>
  </si>
  <si>
    <t>עלות כוללת: 4,200,000</t>
  </si>
  <si>
    <t>מתוך זה קרקע: 1,200,000</t>
  </si>
  <si>
    <t>תקופת הפחתה בשנים: 25</t>
  </si>
  <si>
    <t>מועד הפיכת הפריט לנדל״ש בחלקו (בגין הקומה שבה הפסיק להתבצע שימוש בעלים)</t>
  </si>
  <si>
    <t>קומה אחת</t>
  </si>
  <si>
    <t>מתוך 5</t>
  </si>
  <si>
    <t>הפכה</t>
  </si>
  <si>
    <t>לנדל״ש</t>
  </si>
  <si>
    <t>הוצאות פחת עד השינוי: בגין הרכוש הקבוע במלואו:</t>
  </si>
  <si>
    <t>להלן נתונים בדבר השווי ההוגן של המבנה (=כל המבנה) למועדים שונים:</t>
  </si>
  <si>
    <t>נתון שהנדל״ש נמדד לפי שוויו ההוגן. נשאלת השאלה, כיצד לטפל בהפרשי השווי בין העלות המופחתת לבין</t>
  </si>
  <si>
    <t>השווי ההוגן במועד שינוי הסיווג?</t>
  </si>
  <si>
    <r>
      <t xml:space="preserve">התשובה: </t>
    </r>
    <r>
      <rPr>
        <sz val="12"/>
        <color theme="1"/>
        <rFont val="David"/>
      </rPr>
      <t>כאשר פריט רכוש קבוע משנה סיווגו לנדל״ן להשקעה הנמדד לפי שווי הוגן, יש לטפל בכל הפרש שנוצר</t>
    </r>
  </si>
  <si>
    <t xml:space="preserve">במועד השינוי כשם שמטפלים בהערכה מחדש. </t>
  </si>
  <si>
    <t>שלב 1: טפל בפריט כולו עד מועד שינוי הייעוד 1.3.2016 (מועד המעבר) - הוצאות פחת יחסיות בגין המבנה כולו (לחודשיים):</t>
  </si>
  <si>
    <t>שלב 2: חישוב עזר - רכיב שהופך להיות נדל״ש (קומה 1 מתוך 5) - ערך ספרים ערב המעבר:</t>
  </si>
  <si>
    <t>קומה 1 מתוך 5, לכן כפלנו ב-1/5</t>
  </si>
  <si>
    <t>נתון: שהשווי הכולל של הנדל״ן 5,200,000 במועד זה, אנחנו משנים ל-1/5</t>
  </si>
  <si>
    <t>בהתאם לתקן (IAS 40) שינוי ייעוד מרכוש קבוע</t>
  </si>
  <si>
    <t>לנדל״ן להשקעה הנמדד בשווי הוגן מטופל כהערכה</t>
  </si>
  <si>
    <t>מחדש על כל המשתמע. וכאן: המשמעות היא זקיפת</t>
  </si>
  <si>
    <t>עליית הערך לקרן הערכה מחדש.</t>
  </si>
  <si>
    <t>שלב 3: איפוס הפחת הנצבר בגין הרכיב שהפך להיות נדל״ש:</t>
  </si>
  <si>
    <t>שלב 4: רישום קרן הערכה מחדש כתוצאה מהשערוך:</t>
  </si>
  <si>
    <t>מיד אחרי</t>
  </si>
  <si>
    <t>שערוך</t>
  </si>
  <si>
    <t xml:space="preserve">830,000 + 210,000 = </t>
  </si>
  <si>
    <t>במבנה 5 קומות</t>
  </si>
  <si>
    <t>קומה 1: נדל״ש</t>
  </si>
  <si>
    <t>4 KOMOT</t>
  </si>
  <si>
    <t>עלות הרכוש הקבוע 4,200,000, לוקחים בחשבון 4/5 מתוכה.</t>
  </si>
  <si>
    <t>פחת נוסף 1.1.2016-1.3.2016</t>
  </si>
  <si>
    <t>פחת נצבר שאופס</t>
  </si>
  <si>
    <t>בגין הרכיב שעבר</t>
  </si>
  <si>
    <t>להיות נדל״ש</t>
  </si>
  <si>
    <t>קומות</t>
  </si>
  <si>
    <t>קומה</t>
  </si>
  <si>
    <t>נדל״ש</t>
  </si>
  <si>
    <t>מסלולי הטיפול:</t>
  </si>
  <si>
    <t>מעבר</t>
  </si>
  <si>
    <t>דיווח</t>
  </si>
  <si>
    <t>שווי הוגן עדכני מבנה לתום 2016</t>
  </si>
  <si>
    <t xml:space="preserve"> * 1/5 = </t>
  </si>
  <si>
    <r>
      <t xml:space="preserve">שינויי שווי </t>
    </r>
    <r>
      <rPr>
        <u/>
        <sz val="12"/>
        <color theme="1"/>
        <rFont val="David"/>
      </rPr>
      <t>לאחר</t>
    </r>
    <r>
      <rPr>
        <sz val="12"/>
        <color theme="1"/>
        <rFont val="David"/>
      </rPr>
      <t xml:space="preserve"> מועד המעבר- במלואם לרווח והפסד: </t>
    </r>
    <r>
      <rPr>
        <u/>
        <sz val="12"/>
        <color theme="1"/>
        <rFont val="David"/>
      </rPr>
      <t>רווח מע״ע 30,000</t>
    </r>
  </si>
  <si>
    <t>הוצאות פחת(*)</t>
  </si>
  <si>
    <t>עלות 5 הקומות</t>
  </si>
  <si>
    <t>עלות כוללת של הקרקע</t>
  </si>
  <si>
    <t>תקופת</t>
  </si>
  <si>
    <t>ההפחתה</t>
  </si>
  <si>
    <t>החישוב מתייחס ל-4</t>
  </si>
  <si>
    <t>מתוך 5 קומות המבנה</t>
  </si>
  <si>
    <t xml:space="preserve"> הוצאות פחת - רכוש קבוע בגין 4 קומות [לשנה שלמה]:</t>
  </si>
  <si>
    <t>הוצאות פחת - רכוש קבוע בגין 1 קומה [לחודשיים, עד המעבר]:</t>
  </si>
  <si>
    <t xml:space="preserve">(4,200,000 - 1,200,000)/25 * 1/5 * (2/12) = </t>
  </si>
  <si>
    <t xml:space="preserve">רכוש קבוע </t>
  </si>
  <si>
    <t>בניין</t>
  </si>
  <si>
    <t xml:space="preserve">        פחת על כל השנה: 96,000</t>
  </si>
  <si>
    <t>ר״ק &gt;&gt;&gt; נדל״ש</t>
  </si>
  <si>
    <t xml:space="preserve">        פחת על חודשיים: 4,000</t>
  </si>
  <si>
    <t>סך הוצאות הפחת השנתיות בדוח רווח והפסד בגין הפריט:</t>
  </si>
  <si>
    <t>בסך הכל, פקודות היומן למתן ביטוי להוצאות פחת (כל השנה)</t>
  </si>
  <si>
    <t>פחנ״צ - ר״ק</t>
  </si>
  <si>
    <t>פחת לכל השנה כולה, עד מועד המעבר ואחריו!</t>
  </si>
  <si>
    <t>פקודת יומן למתן ביטוי לעליית ערך נוספת ממועד המעבר עד לתום השנה - רכיש נדל״שי:</t>
  </si>
  <si>
    <t>שימו לב! אין איפוסים נוספים של הפחת הנצבר לאחר מועד המעבר.</t>
  </si>
  <si>
    <t>משום שאין הערכה מחדש נוספת;</t>
  </si>
  <si>
    <t xml:space="preserve">יש רק התאמות לשווי ההוגן לרווח והפסד. </t>
  </si>
  <si>
    <t>עלות בניכוי רכיב קרקע</t>
  </si>
  <si>
    <t>פרק הזמן שחלף בשנים 30.9.2015 - 31.12.2016</t>
  </si>
  <si>
    <t xml:space="preserve">3,000,000/25 * (1 + 3/12) * 4/5 = </t>
  </si>
  <si>
    <t>יתרות רלוונטיות לדיווח - 31/12/2016:</t>
  </si>
  <si>
    <t>תרגול שמסייע להבנת התהליכים שהדגשנו בתרגיל זה</t>
  </si>
  <si>
    <t>שאלות קצרות</t>
  </si>
  <si>
    <t>מהי ההגדרה של נדל״ן להשקעה בהתאם ל - IAS 40?</t>
  </si>
  <si>
    <t xml:space="preserve">א. פריט רכוש אשר מוחזק לטובת ייצור או אספקה של שירותים ו/או לצרכים מנהליים. </t>
  </si>
  <si>
    <t>ב. פריט המוחזק למכירה במהלך העסקים הרגיל של הישות המדווחת בתהליך היצירה או הבנייה של מלאי</t>
  </si>
  <si>
    <t>ד. פריט המפותח או נבנה עבור צדדים שלישיים</t>
  </si>
  <si>
    <t>רמה: Baby boom</t>
  </si>
  <si>
    <r>
      <t xml:space="preserve">ג. פריט המוחזק </t>
    </r>
    <r>
      <rPr>
        <b/>
        <sz val="12"/>
        <color theme="1"/>
        <rFont val="David"/>
      </rPr>
      <t>רק</t>
    </r>
    <r>
      <rPr>
        <sz val="12"/>
        <color theme="1"/>
        <rFont val="David"/>
      </rPr>
      <t xml:space="preserve"> על מנת להניב הכנסות שכירות או רווח מעליית ערך או שניהם</t>
    </r>
  </si>
  <si>
    <t xml:space="preserve">התשובה הנכונה: ג. </t>
  </si>
  <si>
    <t>א. שווי הוגן</t>
  </si>
  <si>
    <t>ב. עלות</t>
  </si>
  <si>
    <t>ג. שווי מימוש נטו</t>
  </si>
  <si>
    <t>ד. עלות בניכוי פחת נצבר עתידי</t>
  </si>
  <si>
    <t xml:space="preserve">רמה: התמחות בדאטה </t>
  </si>
  <si>
    <r>
      <t xml:space="preserve">מהו העיקרון לפיו נמדד </t>
    </r>
    <r>
      <rPr>
        <b/>
        <sz val="12"/>
        <color theme="1"/>
        <rFont val="David"/>
      </rPr>
      <t>באופן ראשוני במועד ההכרה</t>
    </r>
    <r>
      <rPr>
        <sz val="12"/>
        <color theme="1"/>
        <rFont val="David"/>
      </rPr>
      <t xml:space="preserve"> נדל״ש לפי הנחיות IAS 40?</t>
    </r>
  </si>
  <si>
    <t xml:space="preserve">כשאנו הגדרנו לעיל את בסיסי המדידה (עלות או שווי הוגן) התייחסנו לאופן שבו נמדוד את פריט הנדל״ן ״לאורך זמן״. </t>
  </si>
  <si>
    <t xml:space="preserve">לפעמים קוראים לזה בחשבונאות: ״מדידה לאחר מועד ההכרה״. </t>
  </si>
  <si>
    <t xml:space="preserve">כאן, אנו מתמקדים ספציפית במצב שבו נרצה למדוד את הנדל״ן מיידית כשהוא נרכש. </t>
  </si>
  <si>
    <t xml:space="preserve">ואז: מודדים אותו לפי עלותו. </t>
  </si>
  <si>
    <t>אם חברה קנתה נדל״ן להשקעה בעלות של 500,000 ש״ח, לא משנה מה ״שוויו על הנייר״ או מה ״השמאי אומר״, הפריט</t>
  </si>
  <si>
    <t xml:space="preserve">יוצג לפי עלותו. </t>
  </si>
  <si>
    <t>ח׳ נדל״ש</t>
  </si>
  <si>
    <t>מהו ההבדל המרכזי בין רכוש קבוע לבין נדל״ן להשקעה המטופל לפי IAS 40?</t>
  </si>
  <si>
    <t xml:space="preserve">א. רכוש קבוע הוא מוחשי, בעוד שנדל״ן להשקעה הוא בלתי מוחשי. </t>
  </si>
  <si>
    <t xml:space="preserve">ב. רכוש קבוע נמדד לפי עלותו, בעוד שנדל״ן להשקעה נמדד לפי שוויו ההוגן. </t>
  </si>
  <si>
    <t>ג. רכוש קבוע מוחזק למטרת שימוש עסקי, לעומת נדל״ן להשקעה שמוחזק לשם הנבת הכנסות שכירות ו/או עליית ערך בלבד</t>
  </si>
  <si>
    <t xml:space="preserve">ד. רכוש קבוע מופחת, ואילו נדל״ן להשקעה איננו מופחת. </t>
  </si>
  <si>
    <t>ה. יש יותר מתשובה נכונה אחת.</t>
  </si>
  <si>
    <t>רמה: סבירה</t>
  </si>
  <si>
    <t>פתרון:</t>
  </si>
  <si>
    <t xml:space="preserve">א. שגוי. אמנם רכוש קבוע הוא אכן מוחשי - אך גם נדל״ן להשקעה הוא מוחשי (פריט פיזי). </t>
  </si>
  <si>
    <t>ב. שגוי. ראשית, משום שרכוש קבוע עשוי להימדד גם לפי הערכה מחדש (ולא רק לפי עלות)</t>
  </si>
  <si>
    <t xml:space="preserve">    שנית, נדל״ן להשקעה עשוי להימדד גם לפי עלות ולא רק לפי שווי הוגן.</t>
  </si>
  <si>
    <t>ג. נכון לפי ההגדרה.</t>
  </si>
  <si>
    <t xml:space="preserve">ד. החלק הראשון של המשפט נכון. רכוש קבוע מופחת (גם אם מיושם מודל הערכה מחדש, בין מועדי שערוך מבצעים הפחתה). </t>
  </si>
  <si>
    <t xml:space="preserve">    החלק השני של המשפט שגוי, משום שנדל״ן להשקעה עשוי להיות מופחת (במידה והמודל המיושם לגביו הוא מודל העלות).</t>
  </si>
  <si>
    <t>ה. שגוי. כי רק ג נכון.</t>
  </si>
  <si>
    <t>באיזה מבין המקרים ישנה פריט רכוש קבוע את סיווגו לנדל״ש?</t>
  </si>
  <si>
    <t>א. כאשר ישנו שינוי בשימוש, הנתמך בהפסקת שימוש על ידי הבעלים</t>
  </si>
  <si>
    <t>ב. כאשר ישנו שינוי בכוונות ההנהלה, כפי שמשתקף באישור מועצת המנהלים או הצהרה ציבורית לבעלי המניות</t>
  </si>
  <si>
    <t>ג. כאשר ישנו שינוי בתנאי השוק, המעידים על עלייה או ירידה משמעותית בשווי הפריט ו/או בדמי השכירות הצפויים</t>
  </si>
  <si>
    <t>ד. כאשר חל שינוי במדיניות החשבונאית, המתבטאת בהתאמה לאחור (רטרוספקטיבי) של הערכים</t>
  </si>
  <si>
    <t>ה. כל התשובות נכונות</t>
  </si>
  <si>
    <t xml:space="preserve">התשובה א. </t>
  </si>
  <si>
    <t xml:space="preserve">ב - כוונת ההנהלה שאיננה מתבטאת בפעולה פיזית איננה מספקת לשינוי סיווג. </t>
  </si>
  <si>
    <t>ג - לא מתאים, משום ששינוי סיווג איננו מושפע דווקא משינויי שווי, אלא משינוי באופן השימוש.</t>
  </si>
  <si>
    <t>ד - מאיפה באת לי עכשיו.</t>
  </si>
  <si>
    <t>רמה: קלילי</t>
  </si>
  <si>
    <t>מהי המדיניות החשבונאית שניתן ליישם לגבי פריטי נדל״ן להשקעה לאחר מועד ההכרה לראשונה?</t>
  </si>
  <si>
    <t>א. מדידה על בסיס הערכה מחדש.</t>
  </si>
  <si>
    <t>ב. מדידה על בסיס השווי ההוגן.</t>
  </si>
  <si>
    <t>ג. מדידה על בסיס העלות.</t>
  </si>
  <si>
    <t>ד. מדידה על בסיס השווי ההוגן או על בסיס העלות.</t>
  </si>
  <si>
    <t>ה. מדידה על בסיס השווי ההוגן או על בסיס העלות או על בסיס הערכה מחדש.</t>
  </si>
  <si>
    <t>בסיסי המדידה היחידים האפשריים לגבי נדל״ן להשקעה הם:</t>
  </si>
  <si>
    <t>א. עלות.</t>
  </si>
  <si>
    <t>ב. שווי הוגן.</t>
  </si>
  <si>
    <t>ההערכה מחדש רק נועדה לבטא את ערך הרכוש הקבוע ״רגע לפני המעבר״.</t>
  </si>
  <si>
    <t>התשובה ד.</t>
  </si>
  <si>
    <t>שאלה 6</t>
  </si>
  <si>
    <t>מהם הקריטריונים הנדרשים להכרה בנכס נדל״ן להשקעה?</t>
  </si>
  <si>
    <t xml:space="preserve">א. צפוי שההטבות שינבעו מהנדל״ן יזרמו לחברה, וניתן לאמוד באופן מהימן את השווי ההוגן של הפריט. </t>
  </si>
  <si>
    <t>ב. בוודאות ינבעו לחברה הטבות כלכליות וניתן למדוד באופן מהימן את העלות.</t>
  </si>
  <si>
    <t>ג. צפוי שהטבות כלכליות ינבעו לחברה, והעלות יכולה להיאמד באופן מהימן.</t>
  </si>
  <si>
    <t>ד. בוודאות ינבעו הטבות כלכליות מהפריט לחחברה, וניתן לאמוד מהימנה גם את השווי ההוגן וגם את העלות.</t>
  </si>
  <si>
    <t>כשאנו דנים ב״הכרה״ בנכסים, אנו למעשה שואלים: ״מתי, באיזו נקודת זמן, נוכל להציג את הנכס בדיווחים״.</t>
  </si>
  <si>
    <t>ב + ד. שגויים. כל נכס, באשר הוא, תמיד עלול להינזק / לאבד ערך אפילו עד לאפס. גם אם זה לא סביר / בהסתברות נמוכה,</t>
  </si>
  <si>
    <t xml:space="preserve">עדיין - אין ודאות מלאה. </t>
  </si>
  <si>
    <t xml:space="preserve">א שגוי. זאת לאור העובדה שהיכולת לאמוד באופן מהימן שווי הוגן חשובה רק אם המודל המיושם הוא מודל השווי ההוגן, </t>
  </si>
  <si>
    <t xml:space="preserve">ובנוסף - תמיד אפשר לחזור למדוד בעלות. </t>
  </si>
  <si>
    <t>ג. חשוב לזכור: העלות היא הבסיס למדידת הפריט הנכסי במועד ההכרה. אם אין דרך לדעת מה העלות - איך נמדוד בהכרה?</t>
  </si>
  <si>
    <t>שאלה 7</t>
  </si>
  <si>
    <t>נדל״ן להשקעה ניתן למדוד בין היתר על בסיס מודל השווי ההוגן. כיצד ניתן להעריך שווי הוגן זה?</t>
  </si>
  <si>
    <t>א. כמה מוכן לשלם בעד הנכס מישהו שלחוץ ממש לרכוש אותו.</t>
  </si>
  <si>
    <t xml:space="preserve">ב. בכמה מוכן אדם למכור את הנכס אם הוא לחוץ ממש למכור אותו. </t>
  </si>
  <si>
    <t>ג. מהו סכום הערכת השמאי לנכס.</t>
  </si>
  <si>
    <t>ג. נכון. הערכת שמאי היא אחד מהכלים המקצועיים להערכת שווי הוגן. השאלה היא, מה לגבי ההיגדים האחרים?</t>
  </si>
  <si>
    <t xml:space="preserve">א. שגוי. שווי הוגן הוא המחיר שהיה נקבע בעסקה בין מוכר מרצון לקונה מרצון, הפועלים בצורה מושכלת (ברוגע, ללא לחץ) </t>
  </si>
  <si>
    <t>וללא יחסים מיוחדים בין הצדדים.</t>
  </si>
  <si>
    <t xml:space="preserve">ב. שגוי, מאותה הסיבה ש-א שגוי (גם ״לחץ״ של המוכר מונע עמידה בהגדרה). </t>
  </si>
  <si>
    <t>ד. מהו הסכום שאותו מוכן בעל המניות העיקרי בחברה לשלם (״ברוגע״) בעד הנכס.</t>
  </si>
  <si>
    <t>ד. בעל מניות הוא בעל יחסים מיוחדים עם החברה (איננו בלתי תלוי / בלתי קשור) ולכן הסכום שהוא מוכן לשלם לא עומד בהגדרת</t>
  </si>
  <si>
    <t>שווי הוגן.</t>
  </si>
  <si>
    <t>שאלה 8</t>
  </si>
  <si>
    <t>כיצד יש לטפל במעבר מרכוש קבוע לנדל״ן להשקעה?</t>
  </si>
  <si>
    <t>א. בכל מקרה, יש לבצע שערוך לחלק שהופך לנדל״ן להשקעה במועד המעבר, ולהכיר (במידת הצורך) בקרן הערכה מחדש.</t>
  </si>
  <si>
    <t>ב. רק אם הנדל״ן להשקעה נמדד בחברה על בסיס שווי הוגן, יש לבצע שערוך לחלק שהופך לנדל״ן להשקעה במועד המעבר, ולהכיר במידת הצורך בקרן הערכה מחדש.</t>
  </si>
  <si>
    <t>ג. בכל מקרה, כאשר קיים פער בין שווי החלק ההופך לנדל״ן להשקעה לבין ערכו בספרים ערב המעבר, יוכר רווח / הפסד (ברוו״ה) בגובה ההפרש.</t>
  </si>
  <si>
    <t>ד. רק אם הנדל״ן להשקעה נמדד בחברה על בסיס עלות, יש לבצע שערוך לחלק שהופך לנדל״ן להשקעה במועד המעבר, ולהכיר במידת הצורך בקרן הערכה מחדש.</t>
  </si>
  <si>
    <t>ה. מעברים מרכוש קבוע לנדל״ן להשקעה לא יוצרים הבדלים / פערים בערך הספרים של הנכס לפני ואחרי המעבר.</t>
  </si>
  <si>
    <t>ו. יש יותר מתשובה נכונה אחת.</t>
  </si>
  <si>
    <t>רכוש קבוע הופך לנדל״ש</t>
  </si>
  <si>
    <t>האם הנדל״ש נמדד בשווי הוגן (מדיניות החברה)?</t>
  </si>
  <si>
    <t>לפי עלות</t>
  </si>
  <si>
    <t>מעבירים את העלות</t>
  </si>
  <si>
    <t>המופחתת של הרכוש הקבוע</t>
  </si>
  <si>
    <t>לסעיף נדל״ש, ללא שינוי</t>
  </si>
  <si>
    <t>כמותי של הערך בספרים</t>
  </si>
  <si>
    <t xml:space="preserve">יש לטפל ברכיב המועבר לנדל״ש </t>
  </si>
  <si>
    <t>בדיוק באותו האופן שבו מטפלים בהערכה מחדש:</t>
  </si>
  <si>
    <t>א. הכרה בהוצאות פחת עד המעבר.</t>
  </si>
  <si>
    <t>ב. איפוס הפחת הנצבר כנגד העלות.</t>
  </si>
  <si>
    <t>ג. טיפול בפערים בין שווי הוגן עדכני לבין ערך בספרים לפי מודל הערכה מחדש:</t>
  </si>
  <si>
    <t>ייתכן (לא בהכרח, במידת הצורך) וייווצר הפרש חיובי</t>
  </si>
  <si>
    <t xml:space="preserve">בין השווי העדכני לערך הספרים אשר ייזקף לקרן </t>
  </si>
  <si>
    <t xml:space="preserve">הערכה מחדש. </t>
  </si>
  <si>
    <t xml:space="preserve">התשובה הנכונה: ב. </t>
  </si>
  <si>
    <t>סיכום ביניים למפגש:</t>
  </si>
  <si>
    <t xml:space="preserve">למדנו להגדיר מהו נדל״ן להשקעה, ומהם השימושים האפשריים בו. </t>
  </si>
  <si>
    <t xml:space="preserve">ציינו את חשיבות השווי ההוגן של הנדל״ן להשקעה, למרות שניתן למדוד אותו גם בעלותו. </t>
  </si>
  <si>
    <t>הצגנו התייחסות למקרה שבו פריט מתחיל את חייו כרכוש קבוע, וחלק ממנו הופך להיות נדל״ש, ואת הקריטריונים שמאפשרים זאת.</t>
  </si>
  <si>
    <t>הצגנו את אופן המדידה במועד המעבר לנדל״ש, ואת אופן הטיפול בתקופות עוקבות ״פיצול שימושים״.</t>
  </si>
  <si>
    <t>במפגש הבא: נמשיך ונדון גם בהיבטי מדידה של נדל״ש, ונעמיק את סוגיית המעברים.</t>
  </si>
  <si>
    <t>מה הלוגיקה? מה הרציונל?</t>
  </si>
  <si>
    <t>מעבר מ- או אל- נדל״ן להשקעה צריך להתמך תמיד בראיות לגבי פעולות פיזיות התומכות בביצוע המעבר.</t>
  </si>
  <si>
    <t>כך למשל, כשדנו במעבר מרכוש קבוע לנדל״ן להשקעה, ציינו שהפסקת שימוש על ידי הבעלים נדרשת.</t>
  </si>
  <si>
    <t>כלומר, בוצעה פעולה חיצונית, ברורה, משמעותית - שהיא תנאי הכרחי לשינוי הסיווג.</t>
  </si>
  <si>
    <t>עיקרון זה ישרת אותנו גם בבואנו להכריע בדבר העיתוי שבו נדל״ן להשקעה יהפוך למלאי: אין זה מספיק להחליט,</t>
  </si>
  <si>
    <t>גם לא ברמת ההנהלה או רמה מחייבת אחרת שמשנים את הייעוד, אלא - יש לבצע פעולה ברורה משמעותית</t>
  </si>
  <si>
    <t>שתהווה ראייה לכך שאכן שינוי הייעוד בתוקף. ובמקרה של מעבר מנדל״ן להשקעה (שמוחזק לאורך זמן) למלאי</t>
  </si>
  <si>
    <t xml:space="preserve">שתכליתו היא מכירה - הראייה העיקרית היא ביצוע פעילויות להכנה למכירה (שיפוצים, פינוי מדיירים ועוד). </t>
  </si>
  <si>
    <t>כנתון, שולם באופן ישיר בעד הפריט סכום של 480,000 ש״ח, ובנוסף סכום של 20,000 כ״עלויות השלמת עסקת הרכישה״.</t>
  </si>
  <si>
    <t>שני סוגי העלויות הן חלק מעלות הפריט במועד ההכרה לראשונה:</t>
  </si>
  <si>
    <t>מדוע זהו נדל״ן להשקעה: משום שכנתון משמש להשכרה בלבד, מיד ממועד רכישתו.</t>
  </si>
  <si>
    <t>בתאריך זה, נתקבלה ההחלטה על שינוי הייעוד של מבנה הנדל״ן להשקעה (מתוך רצון למכור אותו). בהנתן שהחברה</t>
  </si>
  <si>
    <t xml:space="preserve">היא חברה קבלנית, זהו איתות שלה על רצון להסב את ייעוד הפריט מנדל״ן להשקעה למלאי. השאלה היא, האם לפי </t>
  </si>
  <si>
    <t>התקן IAS 40 מתקיימים הקריטריונים הרלוונטיים לביצוע שינוי הייעוד? התשובה: עדיין לא. ומדוע? משום שההחלטה</t>
  </si>
  <si>
    <r>
      <rPr>
        <b/>
        <sz val="12"/>
        <color theme="1"/>
        <rFont val="David"/>
      </rPr>
      <t>איננה נתמכת</t>
    </r>
    <r>
      <rPr>
        <sz val="12"/>
        <color theme="1"/>
        <rFont val="David"/>
      </rPr>
      <t xml:space="preserve"> </t>
    </r>
    <r>
      <rPr>
        <u/>
        <sz val="12"/>
        <color theme="1"/>
        <rFont val="David"/>
      </rPr>
      <t>בפעילות אקטיבית בפועל שתעיד על השינוי</t>
    </r>
    <r>
      <rPr>
        <sz val="12"/>
        <color theme="1"/>
        <rFont val="David"/>
      </rPr>
      <t xml:space="preserve"> - בפרט, אין התייחסות לפעילות שהחלה במטרה להכין</t>
    </r>
  </si>
  <si>
    <t xml:space="preserve">בהתאם להנחיות IAS 40, כאשר פריט נדל״ן להשקעה נמדד בשווי הוגן, בעת שינוי הייעוד מנדל״ן להשקעה למלאי - </t>
  </si>
  <si>
    <t>יש למדוד את הפריט בהתאם לשווי ההוגן ערב השינוי - ולזקוף הפרשים לרווח והפסד ״כרגיל״.</t>
  </si>
  <si>
    <t>לפי עלות, משום שהשינוי בוצע חודשים אחדים לאחר הרכישה, מבלי שחושב שווי הוגן</t>
  </si>
  <si>
    <t>נתון - מועד המעבר: 30/6/2014 ערב תחילת השיפוץ</t>
  </si>
  <si>
    <t xml:space="preserve">575,000 - 500,000 = </t>
  </si>
  <si>
    <t>התקן קובע IAS 40 שבעקבות השינוי -  המעבר מנדל״ש למלאי, יש להתייחס לערך הספרים מיד לאחר המעבר</t>
  </si>
  <si>
    <t>הכרה בנכס המלאי ״לראשונה״</t>
  </si>
  <si>
    <t>גריעה / ביטול של נכס הנדל״ן להשקעה</t>
  </si>
  <si>
    <t>עלות הנדל״ן המסווג כמלאי:</t>
  </si>
  <si>
    <t>השיפוץ כבר הושלם, הנכס מוכן למכירה כבר עכשיו</t>
  </si>
  <si>
    <t>עלויות נוספות להשלמת המכירה, נתון</t>
  </si>
  <si>
    <t>min(605,000 ; 600,000) = 600,000</t>
  </si>
  <si>
    <t>מדידה:</t>
  </si>
  <si>
    <t>הסבר:</t>
  </si>
  <si>
    <t xml:space="preserve">הירידה מ-605,000 ל-600,000 </t>
  </si>
  <si>
    <t>הציגו את מכלול פקודות היומן עבור שנת 2014, והציגו את מכלול היתרות המאזניות והתוצאתיות</t>
  </si>
  <si>
    <t>ריכוז יתרות - מאזניות וברמת רווח והפסד</t>
  </si>
  <si>
    <t>רווח מע״ע נדל״ש</t>
  </si>
  <si>
    <t>הייחוס לרכיבים שונים הוא משמעותי, כאשר תקופת ההפחתה של הרכיבים שונה.</t>
  </si>
  <si>
    <t>המבנה משמש את הנהלת החברה, ומהווה רכוש קבוע שנמדד לפי מודל העלות.</t>
  </si>
  <si>
    <t>במבנה ישנם רכיבים שונים, שאורך החיים / תקופת ההפחתה של כל אחד מהם שונה.</t>
  </si>
  <si>
    <t>בנפרד:</t>
  </si>
  <si>
    <t xml:space="preserve">מדובר במקרה זה בשינוי ייעוד מרכוש קבוע הנמדד לפי מודל העלות &gt;&gt;&gt;&gt; לנדל״ן להשקעה הנמדד לפי שווי הוגן. </t>
  </si>
  <si>
    <r>
      <t xml:space="preserve">ערכים </t>
    </r>
    <r>
      <rPr>
        <u/>
        <sz val="12"/>
        <color theme="1"/>
        <rFont val="David"/>
      </rPr>
      <t>נטו</t>
    </r>
  </si>
  <si>
    <t>שווי הוגן עדכני ל-1.1.2009</t>
  </si>
  <si>
    <t>של המבנה כולו</t>
  </si>
  <si>
    <t>שווי הוגן 50%</t>
  </si>
  <si>
    <t>יש להכיר בקרן הערכה מחדש בסכום זה</t>
  </si>
  <si>
    <t>הוצאות פחת קבועות לשנה שלמה עבור 100% מהמבנה</t>
  </si>
  <si>
    <t>השנה מחזיקים ב:</t>
  </si>
  <si>
    <t xml:space="preserve">600,000 / 25 + 100,000 / 10 = </t>
  </si>
  <si>
    <t>הוצאות פחת - מבנה:</t>
  </si>
  <si>
    <t xml:space="preserve">34,000 * 50% = </t>
  </si>
  <si>
    <t>ריהוט - פחת מלא:</t>
  </si>
  <si>
    <t xml:space="preserve">150,000/8 = </t>
  </si>
  <si>
    <t>סך הוצ׳ פחת, 2009:</t>
  </si>
  <si>
    <t xml:space="preserve">17,000 + 18,750 = </t>
  </si>
  <si>
    <t>שווי נתון ל-31/12/2009</t>
  </si>
  <si>
    <t>בגין המבנה כולו</t>
  </si>
  <si>
    <t>כמו שנה קודמת</t>
  </si>
  <si>
    <t>שווי עדכני נדל״ן להשקעה</t>
  </si>
  <si>
    <t>כי הריהוט לא הופך לנדל״ש אף פעם. בהגדרה.</t>
  </si>
  <si>
    <t>ככל שאנו מתפתחים כחברה לעולם עתיר ידע, היבטים של מחקר ופיתוח, מיתוג, סימנים מסחריים, זיכיונות לרשתות</t>
  </si>
  <si>
    <t xml:space="preserve">בינלאומיות ורב לאומיות - מהוות מכפיל כוח ועוצמה לחברות בסדרי גודל משמעותיים. </t>
  </si>
  <si>
    <t xml:space="preserve">לא עוד נכסים מוחשיים בלבד ורכוש קבוע; אלא גם נכסים המבטאים ידע, עוצמה במותגים, בסימנים מסחריים, </t>
  </si>
  <si>
    <t xml:space="preserve">במחקר ופיתוח, בפטנטים, בידע ובסוגי קניין אחרים - או בקיצור, נבמ״ים (נכסים בלתי מוחשיים). </t>
  </si>
  <si>
    <t>טרם נצלול הרחק הרחק לעומק ההגדרות הפורמליות לפי יאס לח (IAS 38), עלינו להבין את הדילמה העקרונית</t>
  </si>
  <si>
    <t>הקשורה לפריטים נכסיים אלו:</t>
  </si>
  <si>
    <t>א. נבמ״ים קשה מאד לזהות ולהפריד מיתר הנכסים: דמיינו למשל את מותג Amazon. איזה חלק משווי החברה</t>
  </si>
  <si>
    <t>הוא שווי המותג עצמו, ואיזה חלק קשור ליתר הפעילויות העניפות שחברת Amazon מבצעת? האם בכלל ראוי להכיר</t>
  </si>
  <si>
    <t xml:space="preserve">בשווי נב״מ שכזה? </t>
  </si>
  <si>
    <t>ב. האמור בסעיף א נכון בעיקר לגבי נבמ״ים שנוצרים פנימית בחברה. במידה ורוכשים נבמ״ים הדיון הופך להיות</t>
  </si>
  <si>
    <t>קצת יותר פשוט: כעיקרון, נכיר בעלות הרכישה כנכס, ולאחר מכן נוכל ליישם מודלים של מדידה הקשורים לעלות</t>
  </si>
  <si>
    <t xml:space="preserve">או להערכה מחדש. </t>
  </si>
  <si>
    <r>
      <t xml:space="preserve">הכולל שיתקבל על בסיס הריבית המוגדרת בהסכם. </t>
    </r>
    <r>
      <rPr>
        <b/>
        <sz val="12"/>
        <color theme="1"/>
        <rFont val="David"/>
      </rPr>
      <t>מניות</t>
    </r>
    <r>
      <rPr>
        <sz val="12"/>
        <color theme="1"/>
        <rFont val="David"/>
      </rPr>
      <t xml:space="preserve">, לעומת זאת, </t>
    </r>
    <r>
      <rPr>
        <b/>
        <sz val="12"/>
        <color theme="1"/>
        <rFont val="David"/>
      </rPr>
      <t>אינן נכס כספי</t>
    </r>
    <r>
      <rPr>
        <sz val="12"/>
        <color theme="1"/>
        <rFont val="David"/>
      </rPr>
      <t xml:space="preserve"> - אין לנו דרך לקבוע או</t>
    </r>
  </si>
  <si>
    <t>נכסים כספיים (שיסולקו במזומן בסכום קבוע) וכן נכסים פיננסיים (כגון השקעה במניות, אג״ח וכו׳) אינן ביאס לח.</t>
  </si>
  <si>
    <r>
      <t>חברת ״</t>
    </r>
    <r>
      <rPr>
        <b/>
        <sz val="12"/>
        <color rgb="FF0070C0"/>
        <rFont val="David"/>
      </rPr>
      <t>גוזלי</t>
    </r>
    <r>
      <rPr>
        <sz val="12"/>
        <color rgb="FF0070C0"/>
        <rFont val="David"/>
      </rPr>
      <t>״ בע״מ (להלן: ״החברה״) רכשה את חברת ״</t>
    </r>
    <r>
      <rPr>
        <b/>
        <sz val="12"/>
        <color rgb="FF0070C0"/>
        <rFont val="David"/>
      </rPr>
      <t>ביצי</t>
    </r>
    <r>
      <rPr>
        <sz val="12"/>
        <color rgb="FF0070C0"/>
        <rFont val="David"/>
      </rPr>
      <t>״ בע״מ (100% ממנה). ידוע כי למועד הרכישה,</t>
    </r>
  </si>
  <si>
    <t xml:space="preserve">החברה (גוזלי) שילמה בעד עסקת הרכישה(של מניות ביצי) 150. </t>
  </si>
  <si>
    <t>על פניו - החברה (גוזלי) שילמה 50 יותר מדי (עבור ביצי):</t>
  </si>
  <si>
    <t>גוזלי שילמה בעד ביצי</t>
  </si>
  <si>
    <t>הון עצמי בנרכשת - בביצי</t>
  </si>
  <si>
    <t>דוגמא: בעקבות המלחמה, חברת ״ורד יחזקאלי״ בע״מ יצאה במסע תרומות של מכונות לחימום</t>
  </si>
  <si>
    <t>נקניק לתושבי העוטף. כתוצאה מכך, זכתה לתהודה חיובית ולתשואות לאור דאגתה לקהילה ולאחיה.</t>
  </si>
  <si>
    <t>מהותית כך שצפוי שהחברה תניב רווחים גבוהים משמעותית מבעבר - בעתיד הנראה לעין.</t>
  </si>
  <si>
    <t>נשאלת השאלה: האם ורד יכולה להכיר בעלות המכונות לחימום נקניק אשר תרמה כנכס מוניטין</t>
  </si>
  <si>
    <t>או באופן כללי כנב״מ?</t>
  </si>
  <si>
    <t>התשובה: שלילית. קודם כל, זה לא נכס! כי נכס יוצר הטבה כלכלית צפויה הניתנת לאמידה מהימנה.</t>
  </si>
  <si>
    <t>כאן, ממש לא ברור האם ובאיזו עוצמה ניתן לקשור בין הפעולות הנדיבות של ורד למכירות של החברה.</t>
  </si>
  <si>
    <t>מעבר לזה, האם נוכל להכיר בעלות כנכס לא מזוהה / מוניטין? וגם לכך התשובה שלילית:</t>
  </si>
  <si>
    <t>ורד: עלייך להכיר בכלל עלויות מכונות חימום הנקניק שנתרמו כהוצאה.</t>
  </si>
  <si>
    <t>עלינו לדון בנכס בלתי מוחשי, לא כספי / פיננסי, חסר קיום פיזי, לא מוניטין (שנוצר פנימית) ובכפוף לקיום המבחנים:</t>
  </si>
  <si>
    <t>ב. שליטה</t>
  </si>
  <si>
    <t>א. ניתן לזיהוי</t>
  </si>
  <si>
    <t>אם החברה חתמה על חוזה</t>
  </si>
  <si>
    <t xml:space="preserve">לרכישת נב״מ - ברור </t>
  </si>
  <si>
    <t>שמתקיים עקרון הזיהוי</t>
  </si>
  <si>
    <t>כי החוזה מגדיר (מאפשר לזהות)</t>
  </si>
  <si>
    <t>בדיוק מה נרכש</t>
  </si>
  <si>
    <t>ב.</t>
  </si>
  <si>
    <t>אם החברה יכולה או מסוגלת</t>
  </si>
  <si>
    <t>להעביר את הנב״מ לצד שלישי</t>
  </si>
  <si>
    <t xml:space="preserve">אם אני יצרתי רשימת לקוחות (לידים) </t>
  </si>
  <si>
    <t xml:space="preserve">בחברה, רשימת הלקוחות ניתנת לזיהוי - </t>
  </si>
  <si>
    <t>כי ניתן ״להעבירה הלאה״</t>
  </si>
  <si>
    <t>א.</t>
  </si>
  <si>
    <t>זכות חוזית</t>
  </si>
  <si>
    <t>ניתן להעברה</t>
  </si>
  <si>
    <t>או&gt;&gt;&gt;&gt;</t>
  </si>
  <si>
    <t>&gt;&gt;&gt;&gt;&gt;</t>
  </si>
  <si>
    <t>רישיון למונית (מספר צהוב)</t>
  </si>
  <si>
    <t>נייסלי דן</t>
  </si>
  <si>
    <t>ונייסלי דנה</t>
  </si>
  <si>
    <t>כולכם בים, אוכלים עוד:</t>
  </si>
  <si>
    <t>ב. ניתן לזיהוי (נעמיק במאפיין זה גם במסגרת מבחני ההכרה מטה).</t>
  </si>
  <si>
    <t>אז רגע שי, מתי כן נדבר על נב״מ לפי הגדרות IAS 38, כלומר כמבואה להכללת הפריט בספריי החשבונאיים?</t>
  </si>
  <si>
    <t>קריטריונים הנדרשים להתקיים על מנת שנכס יוגדר כ״ניתן לזיהוי״ (אחד מהרכיבים המשמעותיים להכרה כנב״מ בספרים):</t>
  </si>
  <si>
    <t>שאלת המחשה קטנה:</t>
  </si>
  <si>
    <t>שרה ושילת הן בעלות ידע עמוק מאד בתחומי החשבונאות הפיננסית והמודלים הכלכליים המקובלים</t>
  </si>
  <si>
    <t>ונפוצים בשוק ההון. לפיכך, מעוניינות להציג בדיווח הכספי נכס מסוג ״ידע כלכלי״ שהנו נכס בלתי</t>
  </si>
  <si>
    <t xml:space="preserve">מוחשי. בהתאם לנאמר לעיל, האם מתקיים מבחן השליטה שהוא תנאי הכרחי להכרה בנכס בדיווחי </t>
  </si>
  <si>
    <t>החברה שלהן?</t>
  </si>
  <si>
    <t>לא מדובר בידע ייחודי שהחברה יכולה לשלוט בו ולהגן עליו על ידי מניעת שימוש בו על ידי אחרים.</t>
  </si>
  <si>
    <t>משכך, מבחן השליטה לא מתקיים, ולא נוכל להכיר בנב״מ.</t>
  </si>
  <si>
    <r>
      <t xml:space="preserve">התשובה </t>
    </r>
    <r>
      <rPr>
        <b/>
        <sz val="12"/>
        <color theme="1"/>
        <rFont val="David"/>
      </rPr>
      <t>שלילית</t>
    </r>
    <r>
      <rPr>
        <sz val="12"/>
        <color theme="1"/>
        <rFont val="David"/>
      </rPr>
      <t>. השאלה מדגישה מקרה שבו הידע הוא לגבי מודלים מקובלים ונפוצים בשוק ההון.</t>
    </r>
  </si>
  <si>
    <r>
      <t xml:space="preserve">ומהכשרתם, </t>
    </r>
    <r>
      <rPr>
        <b/>
        <sz val="12"/>
        <color theme="1"/>
        <rFont val="David"/>
      </rPr>
      <t>אינה מספקת</t>
    </r>
    <r>
      <rPr>
        <sz val="12"/>
        <color theme="1"/>
        <rFont val="David"/>
      </rPr>
      <t xml:space="preserve"> על מנת שפריטים אלה יקיימו את ההגדרה של נכס בלתי מוחשי. </t>
    </r>
  </si>
  <si>
    <r>
      <t xml:space="preserve">ונאמנותם, הלקוחות ימשיכו לסחור עם הישות. אולם, </t>
    </r>
    <r>
      <rPr>
        <b/>
        <sz val="12"/>
        <color theme="1"/>
        <rFont val="David"/>
      </rPr>
      <t>בהיעדר</t>
    </r>
    <r>
      <rPr>
        <sz val="12"/>
        <color theme="1"/>
        <rFont val="David"/>
      </rPr>
      <t xml:space="preserve"> </t>
    </r>
    <r>
      <rPr>
        <b/>
        <sz val="12"/>
        <color theme="1"/>
        <rFont val="David"/>
      </rPr>
      <t>זכויות משפטיות</t>
    </r>
    <r>
      <rPr>
        <sz val="12"/>
        <color theme="1"/>
        <rFont val="David"/>
      </rPr>
      <t xml:space="preserve"> להגנה, או שליטה</t>
    </r>
  </si>
  <si>
    <t xml:space="preserve">שי: ובכן רועי, אתה צודק. כמובן שבהיבט המדידה הכמותית נצטרך עוגנים שיאפשרו הערכת הסכום הכספי שיוצג, </t>
  </si>
  <si>
    <t>כלומר - צריך לדבר גם על המדידה. להלן.</t>
  </si>
  <si>
    <t>א. ההגדרה של נכס בלתי מוחשי [נכס לא מוחשי / ניתן לזיהוי / לא כספי ופיננסי]</t>
  </si>
  <si>
    <t>ב. הקריטריונים להכרה [כולם: זיהוי ושליטה, וכן יכולת למדוד כספית, כמוצג להלן]</t>
  </si>
  <si>
    <t>בעברית: צריך להיות ״ערוכים לכך״ שנצטרך לספק הצדקות לטענה לפיה צפויות הטבות.</t>
  </si>
  <si>
    <t>מבוא: היכולת להכיר נכסים בלתי מוחשיים מתקיימת רק אם עברנו מסלול מכשולים מאד מייגע.</t>
  </si>
  <si>
    <t>״וואו יש לי</t>
  </si>
  <si>
    <t>נב״מ רק נעבור</t>
  </si>
  <si>
    <t>כמה מבחנים והופ נכיר״</t>
  </si>
  <si>
    <t>נב״מ</t>
  </si>
  <si>
    <t>זו הוצאה</t>
  </si>
  <si>
    <t>לא עמדת במבחני נב״מ</t>
  </si>
  <si>
    <t>המקרה ה״קל יותר״ - כשקונים את הנב״מ (רכישה נפרדת):</t>
  </si>
  <si>
    <t>עדיין צריך לקיים את כלל המבחנים:</t>
  </si>
  <si>
    <t>קיומו של נב״מ</t>
  </si>
  <si>
    <t>זיהוי, שליטה, הטבה</t>
  </si>
  <si>
    <t>אלא שבאופן טבעי, כאשר מדובר בנב״מ</t>
  </si>
  <si>
    <t>נרכש - מבחנים אלו יתקיימו כמעט תמיד</t>
  </si>
  <si>
    <t>בכל מקרה.</t>
  </si>
  <si>
    <t>גם ברכישה נפרדת של נב״מ, לשם הכרה:</t>
  </si>
  <si>
    <t>בשפה יותר גסה: ״כפרה עליך, אם קנית נב״מ - מן הסתם אתה צופה שתקבל בגין זה הטבה. עצם העובדה</t>
  </si>
  <si>
    <t>ששילמת, נסיך שלי, אומרת שמבחינתך ההסתברות להטבה גבוהה״</t>
  </si>
  <si>
    <t xml:space="preserve">בשפה יותר גסה: ״כאשר חברה מייצרת נכס בלתי מוחשי בעצמה, כגון שמות מסחריים, מותגים וכיוצא </t>
  </si>
  <si>
    <t xml:space="preserve">בזה, קשה מאד להפריד ולמדוד את העלות שנוצרת לשם יצירת הנכס, מיתר פעילויות החברה. לעומת </t>
  </si>
  <si>
    <t>זאת, אם חברה קונה מותג / שם מסחרי מחברה אחרת במחיר מסוים, נצפה שיהיה תיעוד ברור ומוגדר</t>
  </si>
  <si>
    <t>לעלות הרכישה״</t>
  </si>
  <si>
    <t>הטבות עובד: שכר ומשכורות, חופשה, הבראה, פיצויים... כל אלו הן עלויות והן תיוחסנה לנכסים בלתי</t>
  </si>
  <si>
    <t>מוחשיים ככל שמדובר בצוות עובדים שניתן לזקוף את פעילותו לייצור / הכשרת הנכס הבלתי מוחשי</t>
  </si>
  <si>
    <t>המיועד.</t>
  </si>
  <si>
    <t>א. עלויות של הטבות עובד (*) העולות במישרין מהבאת הנכס למצב בו הוא פועל.</t>
  </si>
  <si>
    <t>דוגמאות ליציאות (עלויות כספיות) שאינן חלק מהעלות של נכס בלתי מוחשי הן:</t>
  </si>
  <si>
    <r>
      <t xml:space="preserve">פעילויות מסוימות מתרחשות בהקשר לפיתוחו של נכס בלתי מוחשי, אך הן </t>
    </r>
    <r>
      <rPr>
        <b/>
        <sz val="12"/>
        <color rgb="FFFF0000"/>
        <rFont val="David"/>
      </rPr>
      <t>אינן הכרחיות</t>
    </r>
  </si>
  <si>
    <t>הסבר ״גס״: אם חברה רוכשת נב״מ, ובמקום לשלם את עלויותיו כמקובל בשוק בתוך כחודש, מגיעה</t>
  </si>
  <si>
    <t>עם המוכר להסדר שבמסגרתו תשלם את התמורה רק בעוד שנתיים, העלות של הנב״מ לא תוגדר בתור</t>
  </si>
  <si>
    <t>סך התמורה שתשולם בעתיד, אלא בתור הערך הנוכחי של התמורה שתשולם (שמקובל לחשב באמצעות</t>
  </si>
  <si>
    <t xml:space="preserve">כלי PV או NPV כתלות במקרה). </t>
  </si>
  <si>
    <r>
      <t xml:space="preserve">קובע כי כל עלויות המחקר ללא יוצא מן הכלל תוכרנה </t>
    </r>
    <r>
      <rPr>
        <b/>
        <sz val="12"/>
        <color theme="1"/>
        <rFont val="David"/>
      </rPr>
      <t>כהוצאה ולא כנכס</t>
    </r>
    <r>
      <rPr>
        <sz val="12"/>
        <color theme="1"/>
        <rFont val="David"/>
      </rPr>
      <t xml:space="preserve">. </t>
    </r>
  </si>
  <si>
    <t xml:space="preserve">נכס בלתי מוחשי הוא נכס אשר: ניתן לזיהוי, חסר מהות פיזית, לא כספי. </t>
  </si>
  <si>
    <t>תזכורת - נבמ״ים - נכסים בלתי מוחשיים - הגדרה:</t>
  </si>
  <si>
    <t>מתי יוכר נב״מ - נכס בלתי מוחשי?</t>
  </si>
  <si>
    <t xml:space="preserve">א. ניתן לזיהוי - ניתן להפרדה; או בדרך של זכות משפטית. </t>
  </si>
  <si>
    <t>ב. עומד במבחן השליטה - קיימת יכולת להגביל גישתם של אחרים להטבות הנובעות מהנכס.</t>
  </si>
  <si>
    <t>ג. ניתן לשייך את העלויות שיצאו ביצירת הנכס - וקיים צפי להטבות כלכליות.</t>
  </si>
  <si>
    <t>ב. מהי ההשפעה התוצאתית (ברווח והפסד) והמאזנית (בדוח על המצב הכספי) של העסקה במועד ביצועה?</t>
  </si>
  <si>
    <r>
      <t xml:space="preserve">של נכסים כספיים ונכסים לא כספיים. ככלל, </t>
    </r>
    <r>
      <rPr>
        <b/>
        <sz val="12"/>
        <color rgb="FFFF0000"/>
        <rFont val="David"/>
      </rPr>
      <t>העלות</t>
    </r>
    <r>
      <rPr>
        <sz val="12"/>
        <color rgb="FFFF0000"/>
        <rFont val="David"/>
      </rPr>
      <t xml:space="preserve"> של נכס בלתי מוחשי תימדד </t>
    </r>
    <r>
      <rPr>
        <b/>
        <sz val="12"/>
        <color rgb="FFFF0000"/>
        <rFont val="David"/>
      </rPr>
      <t>בשווי הוגן</t>
    </r>
    <r>
      <rPr>
        <sz val="12"/>
        <color rgb="FFFF0000"/>
        <rFont val="David"/>
      </rPr>
      <t xml:space="preserve"> </t>
    </r>
    <r>
      <rPr>
        <sz val="12"/>
        <rFont val="David"/>
      </rPr>
      <t>אלא אם:</t>
    </r>
  </si>
  <si>
    <r>
      <t xml:space="preserve">ערך הספרים של הזיכיון </t>
    </r>
    <r>
      <rPr>
        <u/>
        <sz val="12"/>
        <rFont val="David"/>
      </rPr>
      <t>לקפה</t>
    </r>
    <r>
      <rPr>
        <sz val="12"/>
        <rFont val="David"/>
      </rPr>
      <t xml:space="preserve"> ליום 1.1.2023:</t>
    </r>
  </si>
  <si>
    <t>Amoritzation</t>
  </si>
  <si>
    <r>
      <t xml:space="preserve">הואיל וערך התמורה </t>
    </r>
    <r>
      <rPr>
        <sz val="8"/>
        <rFont val="David"/>
      </rPr>
      <t>המתקבלת - שווי זיכיון נקניק:</t>
    </r>
    <r>
      <rPr>
        <sz val="12"/>
        <rFont val="David"/>
      </rPr>
      <t xml:space="preserve"> </t>
    </r>
  </si>
  <si>
    <r>
      <t xml:space="preserve">ערך הספרים של הנמסר - </t>
    </r>
    <r>
      <rPr>
        <sz val="8"/>
        <rFont val="David"/>
      </rPr>
      <t>זיכיון קפה:</t>
    </r>
  </si>
  <si>
    <r>
      <t xml:space="preserve">כאשר לעסקת ההחלפה </t>
    </r>
    <r>
      <rPr>
        <b/>
        <sz val="12"/>
        <color theme="1"/>
        <rFont val="David"/>
      </rPr>
      <t>אין מהות מסחרית</t>
    </r>
    <r>
      <rPr>
        <sz val="12"/>
        <color theme="1"/>
        <rFont val="David"/>
      </rPr>
      <t xml:space="preserve">, </t>
    </r>
    <r>
      <rPr>
        <b/>
        <sz val="12"/>
        <color theme="1"/>
        <rFont val="David"/>
      </rPr>
      <t>הפריט המתקבל</t>
    </r>
    <r>
      <rPr>
        <sz val="12"/>
        <color theme="1"/>
        <rFont val="David"/>
      </rPr>
      <t xml:space="preserve"> </t>
    </r>
    <r>
      <rPr>
        <u/>
        <sz val="12"/>
        <color theme="1"/>
        <rFont val="David"/>
      </rPr>
      <t>לא</t>
    </r>
    <r>
      <rPr>
        <sz val="12"/>
        <color theme="1"/>
        <rFont val="David"/>
      </rPr>
      <t xml:space="preserve"> יימדד בשוויו ההוגן, אלא בסכום </t>
    </r>
    <r>
      <rPr>
        <b/>
        <sz val="12"/>
        <color theme="1"/>
        <rFont val="David"/>
      </rPr>
      <t>הזהה לערך הספרים</t>
    </r>
  </si>
  <si>
    <r>
      <t xml:space="preserve">של </t>
    </r>
    <r>
      <rPr>
        <b/>
        <sz val="12"/>
        <color theme="1"/>
        <rFont val="David"/>
      </rPr>
      <t>הנכס הנמסר</t>
    </r>
    <r>
      <rPr>
        <sz val="12"/>
        <color theme="1"/>
        <rFont val="David"/>
      </rPr>
      <t xml:space="preserve"> לאותו המועד.</t>
    </r>
  </si>
  <si>
    <t>ערך הספרים של הזיכיון לקפה ליום 1.1.2023:</t>
  </si>
  <si>
    <t>סיכום ביניים לסוגיית המהות המסחרית או היעדרה בהקשר לעסקאות החלפה של נבמ״ים</t>
  </si>
  <si>
    <t>בשנת 2019, מסרו החוקרים שיש להם קצה חוט ראשוני הנדרש להתנעת תהליך בניית אב-הטיפוס, שנראה</t>
  </si>
  <si>
    <t>בשפה גסה: אם שילמנו כסף בעד נב״מ שאיננו עומד בהגדרה - אזזז - העלות תוכר כהוצאה. כמו שראינו</t>
  </si>
  <si>
    <t>קודם בנכס מחקר ופיתוח. כמו כן, גם אם הנב״מ מוכר בשלב מאוחר יותר - לא ״מחזירים״ הוצאות</t>
  </si>
  <si>
    <t xml:space="preserve">חזרה לנכסים. ראו דוגמא קודמת: היה נכס מו״פ בשלב מסויים, אבל לא החזרנו לתוכו הוצאות של </t>
  </si>
  <si>
    <t>שנים קודמות גם כאשר נקלענו למצב שבו הפריט הפך לכשיר להכרה.</t>
  </si>
  <si>
    <t>בשפה עוד יותר גסה: נגעת נסעת &gt;&gt;&gt; אם הכרנו בהוצאה &gt;&gt;&gt; היא לעולם לא תחזור לנכס נב״מ.</t>
  </si>
  <si>
    <t xml:space="preserve">אז בעצם: עלויות כלליות &gt;&gt;&gt; לא נכנסות לנכס. </t>
  </si>
  <si>
    <t>אם ״עשינו טעויות״ (חוסר יעילות) &gt;&gt;&gt; לא נכניס את ההפסדים לנכס.</t>
  </si>
  <si>
    <t>עלויות פעילות בשלבי עבודה ראשונה &gt;&gt;&gt; לא נכנס לנכס.</t>
  </si>
  <si>
    <t>אם שלחנו את העובד להכשרה - כיצד להשתמש בנכס &gt;&gt;&gt; הוצאות הכשרת עובדים ולא נכס.</t>
  </si>
  <si>
    <r>
      <t xml:space="preserve">הואיל ומדובר בנכס בלתי מוחשי - מבחני </t>
    </r>
    <r>
      <rPr>
        <b/>
        <u/>
        <sz val="12"/>
        <rFont val="David"/>
      </rPr>
      <t>הזיהוי</t>
    </r>
    <r>
      <rPr>
        <b/>
        <sz val="12"/>
        <rFont val="David"/>
      </rPr>
      <t xml:space="preserve">, </t>
    </r>
    <r>
      <rPr>
        <b/>
        <u/>
        <sz val="12"/>
        <rFont val="David"/>
      </rPr>
      <t>השליטה</t>
    </r>
    <r>
      <rPr>
        <b/>
        <sz val="12"/>
        <rFont val="David"/>
      </rPr>
      <t>, ו</t>
    </r>
    <r>
      <rPr>
        <b/>
        <u/>
        <sz val="12"/>
        <rFont val="David"/>
      </rPr>
      <t>הצפי הספציפי להטבות כלכליות</t>
    </r>
    <r>
      <rPr>
        <b/>
        <sz val="12"/>
        <rFont val="David"/>
      </rPr>
      <t xml:space="preserve"> הנובעות ממנו - </t>
    </r>
  </si>
  <si>
    <t>כמובן שהבעייתיות בהקשר זה גבוהה הרבה יותר בנכסים בייצור עצמי מאשר במקרה של נכסים מוחשיים שנרכשו מחיצוניים.</t>
  </si>
  <si>
    <t>לצורך הקמתו, ואם חברה רכשה תוכנה (נב״מ) - קל מאד לזהות את העלות, את הרישיון וההגנה בו וכיו״ב.</t>
  </si>
  <si>
    <t>ניתן להכיר בנכס,</t>
  </si>
  <si>
    <t>אך סכום ההכרה בו ראשוני</t>
  </si>
  <si>
    <t xml:space="preserve">ונמוך במיוחד. </t>
  </si>
  <si>
    <t>נשאלת השאלה: האם הסכום בר ההשבה</t>
  </si>
  <si>
    <t xml:space="preserve">מהימן בכלל בשלב הזה? </t>
  </si>
  <si>
    <t>ככל שכן, צריך להתייחס לסכום בר ההשבה</t>
  </si>
  <si>
    <t>כאל התקרה להכרה בנכס.</t>
  </si>
  <si>
    <t>הנכס</t>
  </si>
  <si>
    <t xml:space="preserve">בשלב </t>
  </si>
  <si>
    <t xml:space="preserve">ראשוני </t>
  </si>
  <si>
    <t>לחייו</t>
  </si>
  <si>
    <t>הסב״ה</t>
  </si>
  <si>
    <t>גבוה</t>
  </si>
  <si>
    <t>מהעלות</t>
  </si>
  <si>
    <r>
      <t xml:space="preserve">ישות תבחר במודל </t>
    </r>
    <r>
      <rPr>
        <b/>
        <u/>
        <sz val="12"/>
        <color theme="1"/>
        <rFont val="David"/>
      </rPr>
      <t>העלות</t>
    </r>
    <r>
      <rPr>
        <sz val="12"/>
        <color theme="1"/>
        <rFont val="David"/>
      </rPr>
      <t xml:space="preserve"> או במודל </t>
    </r>
    <r>
      <rPr>
        <b/>
        <u/>
        <sz val="12"/>
        <color theme="1"/>
        <rFont val="David"/>
      </rPr>
      <t>ההערכה מחדש</t>
    </r>
    <r>
      <rPr>
        <sz val="12"/>
        <color theme="1"/>
        <rFont val="David"/>
      </rPr>
      <t xml:space="preserve"> כמדיניותה החשבונאית. אם נכס בלתי מוחשי</t>
    </r>
  </si>
  <si>
    <t>מה זה אומר ״כל הנכסים האחרים באותה קבוצה״ = נניח שבחברה יש מספר סוגי נבמ״ים: פטנטים, זכויות יוצרים,</t>
  </si>
  <si>
    <t>סימנים מסחריים, קניין רוחני... אם אני מודד פטנט מסויים לפי הערכה מחדש, חובה עליי למדוד</t>
  </si>
  <si>
    <t>את כל הפטנטים לפי הערכה מחדש!</t>
  </si>
  <si>
    <t>פירוש:</t>
  </si>
  <si>
    <t>בכל מועד דיווח:</t>
  </si>
  <si>
    <t>עלות הנב״מ</t>
  </si>
  <si>
    <t>בניכוי הפחתה נצברת</t>
  </si>
  <si>
    <t>בניכוי הפסדים מירידת ערך שנצברו</t>
  </si>
  <si>
    <t>ערך הספרים של הנב״מ - לדיווח במאזן לפי מודל העלות</t>
  </si>
  <si>
    <t>+</t>
  </si>
  <si>
    <t>(-)</t>
  </si>
  <si>
    <t>=</t>
  </si>
  <si>
    <r>
      <t>סעיף 74 - עלות (</t>
    </r>
    <r>
      <rPr>
        <b/>
        <sz val="12"/>
        <color theme="1"/>
        <rFont val="David"/>
      </rPr>
      <t>מדידה לפי מודל העלות</t>
    </r>
    <r>
      <rPr>
        <sz val="12"/>
        <color theme="1"/>
        <rFont val="David"/>
      </rPr>
      <t>):</t>
    </r>
  </si>
  <si>
    <t xml:space="preserve">ההכרה לראשונה היא לפי עלות, </t>
  </si>
  <si>
    <t>רק לאחר מכן - מתחילים לשערך.</t>
  </si>
  <si>
    <t>כהמחשה:</t>
  </si>
  <si>
    <t>פטנט (נב״מ)</t>
  </si>
  <si>
    <t>הפסדים מי״ע</t>
  </si>
  <si>
    <t>שנה ללא שערוך</t>
  </si>
  <si>
    <t>שנת שערוך</t>
  </si>
  <si>
    <t>הרצאה 5 - חשבונאות פיננסית ב - 22/1/2024 - המשך תיאוריה בנב״מ ועקרונות מדידה</t>
  </si>
  <si>
    <t xml:space="preserve">שילת בע״מ בונה אב-טיפוס לרובוט שיחליף את המרצה מעצבן בחשבונאות פיננסית ב׳. </t>
  </si>
  <si>
    <t>בשנת 2020, שילמה החברה עלויות מחקר בסך 500,000 ש״ח.</t>
  </si>
  <si>
    <t>בשנת 2021, שילמה החברה עלויות פיתוח בסך 500,000 ש״ח.</t>
  </si>
  <si>
    <t>בשנת 2022, שילמה החברה עלויות פיתוח בסך 500,000 ש״ח והחברה צופה השלמה מוצלחת של הנכס</t>
  </si>
  <si>
    <t xml:space="preserve">והטבות כלכליות גבוהות. </t>
  </si>
  <si>
    <t>החברה מיישמת את מודל ההערכה מחדש לגבי נכסים בלתי מוחשיים מסוג מחקר ופיתוח בייצור עצמי.</t>
  </si>
  <si>
    <t>השווי ההוגן של הנכס ליום 31/12/2023 (מועד השערוך הראשון) הוא 3,000,000 ש״ח.</t>
  </si>
  <si>
    <t>רואה החשבון א טוען: ״תראה, תכל׳ס - אתה שילמת 1,500,000 על הנכס הזה. אבל 500,000 (שליש) הוכר כנכס</t>
  </si>
  <si>
    <t>בפועל. לכן, אם תרצה לשערך, אתה לא תשערך לשווי כולל של 3,000,000. מה פתאום כפרה. אתה תשערך</t>
  </si>
  <si>
    <t>גם לפי שווי של 1/3 כלומר 1,000,000 = 1/3 * 3,000,000״</t>
  </si>
  <si>
    <t>רואת החשבון ב טוענת: ״לא מסכימה איתך. לדעתי, לפי התקן, ברגע שמשערכים נכס, גם אם יש בו רכיב שלא</t>
  </si>
  <si>
    <r>
      <t xml:space="preserve">של נכס בלתי מוחשי מוכר כנכס, </t>
    </r>
    <r>
      <rPr>
        <b/>
        <sz val="12"/>
        <color theme="1"/>
        <rFont val="David"/>
      </rPr>
      <t>כיוון שהנכס לא קיים את הקריטריונים להכרה עד שלב מסויים</t>
    </r>
  </si>
  <si>
    <r>
      <t xml:space="preserve">הוכר כנכסי בעבר, מבחינה כלכלית - </t>
    </r>
    <r>
      <rPr>
        <b/>
        <sz val="12"/>
        <color theme="1"/>
        <rFont val="David"/>
      </rPr>
      <t>ראוי להתייחס לכל הנכס כמקשה אחת ולהציג אותו בשווי ההוגן הכולל שלו</t>
    </r>
    <r>
      <rPr>
        <sz val="12"/>
        <color theme="1"/>
        <rFont val="David"/>
      </rPr>
      <t>״</t>
    </r>
  </si>
  <si>
    <t xml:space="preserve">שני היבטים בדיון שלנו: האחד, כמובן שניתן לבצע שערוך רק בהנחה ומתקיים שוק פעיל לנכס. </t>
  </si>
  <si>
    <t>בהנחה ששוק פעיל אכן מתקיים: קובע סעיף 77 לתקן שגם אם חלק מהעלויות בגין הנכס לא הוכרו כנכס אלא</t>
  </si>
  <si>
    <t>כהוצאה (כאן - עלויות 2020 ו-2021 - עלויות בשנים שבהן עדיין לא התקיים צפי להשלמה ולהטבה), ברגע</t>
  </si>
  <si>
    <t xml:space="preserve">שהנכס קיים ונוצר - נשערך את ״כולו״ ונתבסס על השווי ההוגן של ״כולו״ לצורך מדידה - 3,000,000. </t>
  </si>
  <si>
    <t xml:space="preserve">במלים פשוטות: ברגע שנכס הוכר, בהגדרה, נשערך את כולו לפי השווי ההוגן של הנכס במלואו. </t>
  </si>
  <si>
    <t>דוגמא קטנה:</t>
  </si>
  <si>
    <t>הוא נימק זאת בכך ש״יש הרבה סרטים בהוליווד שאני יכול להעריך כמה הם שווים, נניח הסרט ברבי שווה 500 מיליון</t>
  </si>
  <si>
    <t>דולר, ולפי זה אני משערך את הסרט של שי כי זה באותו אורך״.</t>
  </si>
  <si>
    <t xml:space="preserve">סאלח בע״מ צילמה סרט באורך 90 דקות שנקרא ״יום בחייו של שייקה״. </t>
  </si>
  <si>
    <t>סאלח מעוניין למדוד את הזכויות לסרט לפי הערכה מחדש.</t>
  </si>
  <si>
    <t xml:space="preserve">כמובן שסאלח טועה. סרט הוא נכס ייחודי; ואין שום קשר כלכלי בין שווי הזכויות לסרט ״ברבי״ לשווי זכויות של </t>
  </si>
  <si>
    <t xml:space="preserve">סרט אחר כגון ״יום בחיי שייקה״. </t>
  </si>
  <si>
    <t>לעומת זאת, רישיון למונית - מאד דומה לרישיון למונית אחרת: כלומר אפשר להסיק משווי רישיון למונית על שווי</t>
  </si>
  <si>
    <t>רישיון למונית אחרת.</t>
  </si>
  <si>
    <t>כל המשמעות של שוק פעיל היא: ״אם הנכסים דומים מספיק, אז מחיר של נכס בשוק פעיל (מחיר קניה או מכירה)</t>
  </si>
  <si>
    <t xml:space="preserve">מהווה ראיה (בסיס תומך) בשווי של הנכס הדומה שלי. </t>
  </si>
  <si>
    <t>אך אם מדובר בנכסים ייחודיים - כגון מותגים, סרטים וכו׳ - לעולם לא יהיה שוק פעיל״.</t>
  </si>
  <si>
    <t>האם קיים שוק פעיל - תרשים זרימה:</t>
  </si>
  <si>
    <t>אין שוק פעיל</t>
  </si>
  <si>
    <t>אם המאפיין</t>
  </si>
  <si>
    <t>ייחודי</t>
  </si>
  <si>
    <t>אם הנכסים</t>
  </si>
  <si>
    <t>דומים במהות</t>
  </si>
  <si>
    <t>יש שוק פעיל</t>
  </si>
  <si>
    <t>במצב כזה,</t>
  </si>
  <si>
    <t>לא נוכל</t>
  </si>
  <si>
    <t>ליישם את מודל</t>
  </si>
  <si>
    <t xml:space="preserve">ההערכה מחדש </t>
  </si>
  <si>
    <t>לנב״מ</t>
  </si>
  <si>
    <t>החברה יכולה ליישם את מודל ההערכה מחדש במידה ותבחר:</t>
  </si>
  <si>
    <t>כל האפשרויות פתוחות:</t>
  </si>
  <si>
    <t>ניתן ליישם את מודל העלות</t>
  </si>
  <si>
    <t>או את מודל ההערכה מחדש</t>
  </si>
  <si>
    <t>ולכן: המודל שייושם</t>
  </si>
  <si>
    <t>למדידת הנב״מ</t>
  </si>
  <si>
    <t>חייב להיות עלות</t>
  </si>
  <si>
    <t>בעברית: אפשר בהחלט לזוז משוק פעיל להיעדר שוק פעיל ״פנימה והחוצה״ לפי הנסיבות. קיום שוק פעיל ואז הפסקתו</t>
  </si>
  <si>
    <t>ראשית, אשאל את עצמי: האם יש כאן אורך חיים מוגדר שנוכל להעריכו או לא?</t>
  </si>
  <si>
    <t>לכאורה, אין כאן נתון שמציג בשנים את תקופת ההפחתה של הנב״מ.</t>
  </si>
  <si>
    <t>אבל: אני יכול להעריך אותו משום שאני יודע לאחר כמה פרויקטים לקוח עוזב, ואני גם יודע כמה פרויקטים</t>
  </si>
  <si>
    <t>אני מבצע / ביצעתי בשנה.</t>
  </si>
  <si>
    <t>שאלה 6 - אורך חיים מוגדר - שאיננו מבוסס שנים</t>
  </si>
  <si>
    <t>פתרון שאלה 6 - אורך חיים מוגדר - שאיננו מבוסס שנים</t>
  </si>
  <si>
    <t>האמור כולל ראיה שהצד השלישי יתן הסכמתו.</t>
  </si>
  <si>
    <t>אופן ההפחתה של נב״מ בעל אורך חיים מוגדר - סידור והרחבה של כלליים שיישמנו להפחתה בשאלה 6 לעיל</t>
  </si>
  <si>
    <t>סאלח לא בחר לרכוש במסלול זה</t>
  </si>
  <si>
    <t>המסלול</t>
  </si>
  <si>
    <t>של סלאח</t>
  </si>
  <si>
    <t>וזה ההסדר המיושם</t>
  </si>
  <si>
    <t xml:space="preserve">בסיס ההפחתה יכול להיות מגוון, אך כברירת מחדל - נפחית על פני שנים. </t>
  </si>
  <si>
    <t>הואיל והנכס היה זמין לשימוש ב-1.7.2012, הרי שהוצאות ההפחתה בשנה זו תתבססנה על חצי שנה מתוך ה-10.</t>
  </si>
  <si>
    <r>
      <t xml:space="preserve">הרכיב בר ההפחתה יישען על עלות נכס הנב״מ שהוכרה: </t>
    </r>
    <r>
      <rPr>
        <sz val="12"/>
        <color rgb="FFFF0000"/>
        <rFont val="David"/>
      </rPr>
      <t>190,000</t>
    </r>
    <r>
      <rPr>
        <sz val="12"/>
        <color theme="1"/>
        <rFont val="David"/>
      </rPr>
      <t xml:space="preserve">. </t>
    </r>
  </si>
  <si>
    <t>מבחינתי: מיד כשאני רואה שצריך לכאורה ליישם הערכה מחדש, אני נזהר מאד: מדוע?</t>
  </si>
  <si>
    <r>
      <t xml:space="preserve">משום שהיכולת ליישם לא מובנת מאליה; הדבר דורש קיומו של </t>
    </r>
    <r>
      <rPr>
        <u/>
        <sz val="12"/>
        <color theme="1"/>
        <rFont val="David"/>
      </rPr>
      <t>שוק פעיל</t>
    </r>
    <r>
      <rPr>
        <sz val="12"/>
        <color theme="1"/>
        <rFont val="David"/>
      </rPr>
      <t xml:space="preserve"> שבמסגרתו השווי ההוגן של הנכס המוערך מחדש</t>
    </r>
  </si>
  <si>
    <t>ניתן לאמידה מהימנה (אם לא נאמר מפורשות: צריכים לקבל נתונים על היקף המסחר בשוק, ועל הדמיון בין הנכסים</t>
  </si>
  <si>
    <t xml:space="preserve">בשוק זה לנכס שאותו מעריכים). </t>
  </si>
  <si>
    <t xml:space="preserve">תזכורת: ככלל, כל הערכה מחדש שמובילה להגדלת ערך הנכס (בהשוואה לערך הספרים ערב השערוך) נזקפת </t>
  </si>
  <si>
    <t>לרווח כולל אחר (קרן הערכה מחדש), אלא אם כן העלייה הזו מבטלת הפסד מירידת ערך / הפרשה לירידת ערך</t>
  </si>
  <si>
    <t xml:space="preserve">שהוכרה בעבר. כאן, אין הפרשה כזו, ולכן כל העליה נזקפת לקרן במלואה. </t>
  </si>
  <si>
    <t>שינוי בקרן - לרווח כולל אחר</t>
  </si>
  <si>
    <t>יתרת קרן - בהון העצמי</t>
  </si>
  <si>
    <t>הקרן קטנה</t>
  </si>
  <si>
    <t>העודפים גדלים</t>
  </si>
  <si>
    <t>שווי הוגן - נתון בשאלה</t>
  </si>
  <si>
    <t>שנת 2014 - שנת מדידת נב״מ רגילה - הכוללת גם שערוך, כי שוק פעיל ממשיך להתקיים</t>
  </si>
  <si>
    <r>
      <t xml:space="preserve">א. </t>
    </r>
    <r>
      <rPr>
        <b/>
        <sz val="12"/>
        <color theme="1"/>
        <rFont val="David"/>
      </rPr>
      <t>הוצאות הפחתה</t>
    </r>
    <r>
      <rPr>
        <sz val="12"/>
        <color theme="1"/>
        <rFont val="David"/>
      </rPr>
      <t>: לפי ערך ספרים נטו שנקבע לפי שערוך אחרון, מחולק ביתרת אורך החיים לאותו מועד.</t>
    </r>
  </si>
  <si>
    <r>
      <t xml:space="preserve">ב. </t>
    </r>
    <r>
      <rPr>
        <b/>
        <sz val="12"/>
        <color theme="1"/>
        <rFont val="David"/>
      </rPr>
      <t>הפחתת ההפרשה לירידת ערך</t>
    </r>
    <r>
      <rPr>
        <sz val="12"/>
        <color theme="1"/>
        <rFont val="David"/>
      </rPr>
      <t>: החל ממועד יצירת הפרשה לירידת ערך, היא מופחתת על פני יתרת אורך החיים</t>
    </r>
  </si>
  <si>
    <t xml:space="preserve">       וזאת כנגד הפחתה נצברת.</t>
  </si>
  <si>
    <t xml:space="preserve">                              ו/או לרווח והפסד, כתלות ביתרת ההפרשה, יתרת הקרן וכיוון השינוי. </t>
  </si>
  <si>
    <r>
      <t xml:space="preserve">ג. </t>
    </r>
    <r>
      <rPr>
        <b/>
        <sz val="12"/>
        <color theme="1"/>
        <rFont val="David"/>
      </rPr>
      <t>איפוס הפחתה נצברת</t>
    </r>
    <r>
      <rPr>
        <sz val="12"/>
        <color theme="1"/>
        <rFont val="David"/>
      </rPr>
      <t xml:space="preserve"> (הכנה להערכה מחדש).</t>
    </r>
  </si>
  <si>
    <r>
      <t xml:space="preserve">ד. </t>
    </r>
    <r>
      <rPr>
        <b/>
        <sz val="12"/>
        <color theme="1"/>
        <rFont val="David"/>
      </rPr>
      <t>הערכה מחדש</t>
    </r>
    <r>
      <rPr>
        <sz val="12"/>
        <color theme="1"/>
        <rFont val="David"/>
      </rPr>
      <t>: בדיקת ירידת ערך / עליית ערך כלכלית, וייחוס שלה לפי הכללים ה״רגילים״: לקרן הערכה מחדש</t>
    </r>
  </si>
  <si>
    <t xml:space="preserve">נתבסס על הערך המשוערך האחרון (זה שנקבע לתום 2013, לפי השווי ההוגן של הנכס לאותו מועד - 140,000) </t>
  </si>
  <si>
    <t>מחולק ביתרת אורך החיים ערב השערוך הנ״ל.</t>
  </si>
  <si>
    <t>תזכורת: הנכס היה זמין לשימוש החל מ-1.7.2012. מועד השערוך האחרון היה 31.12.2013. בנוסף נתון שהנכס</t>
  </si>
  <si>
    <t>זמין לשימוש במשך 10 שנים ממועד הרכישה, ולכן יתרת אורך חייו ערב השערוך האחרון:</t>
  </si>
  <si>
    <t xml:space="preserve">10 - 1.5 = </t>
  </si>
  <si>
    <t>סכום הפרשה מקורי שנוצר ב-31/12/2013</t>
  </si>
  <si>
    <t>ראו חישובי שנה קודמת</t>
  </si>
  <si>
    <t>ראו הסבר לעיל</t>
  </si>
  <si>
    <t>הקטנה שיטתית של ההפרשה</t>
  </si>
  <si>
    <t>הגדלת ההפחתה הנצברת בהתאם</t>
  </si>
  <si>
    <t>יתרת הפרשה לאחר פקודה זו - 31.12.2014:</t>
  </si>
  <si>
    <t>טרם השערוך</t>
  </si>
  <si>
    <t>הפחתה נצברת (*)</t>
  </si>
  <si>
    <t xml:space="preserve">זכרו: הפחתה נצברת נרשמת / מוגדלת גם בגין הוצאות הפחתה (16,471), </t>
  </si>
  <si>
    <t>וגם בגין הפחתת ההפרשה לירידת ערך ככל שקיימת (2,529).</t>
  </si>
  <si>
    <t>ומשום כך יתרת ההפחתה הנצברת ערב השערוך:</t>
  </si>
  <si>
    <t xml:space="preserve">16,471 + 2,529 = </t>
  </si>
  <si>
    <t>בשלב איפוס הפחת הנצבר (רגע לפני השערוך) נאפס את כלל ההפחתה הנצברת, אך ״לא ניגע״ בהפרשה:</t>
  </si>
  <si>
    <t xml:space="preserve">155,000 - 123,529 = </t>
  </si>
  <si>
    <r>
      <t xml:space="preserve">אלא שהשוק הפסיק להיות פעיל ובשנה זו ולכן יש לעבור </t>
    </r>
    <r>
      <rPr>
        <b/>
        <sz val="12"/>
        <color theme="1"/>
        <rFont val="David"/>
      </rPr>
      <t>למודל העלות</t>
    </r>
    <r>
      <rPr>
        <sz val="12"/>
        <color theme="1"/>
        <rFont val="David"/>
      </rPr>
      <t>.</t>
    </r>
  </si>
  <si>
    <t xml:space="preserve">שימו לב: ההתניה של שוק פעיל חיונית לצורך יישום מודל הערכה מחדש. </t>
  </si>
  <si>
    <t>היא ממש לא חיונית לשם יישום מודל העלות, לרבות בדיקת הצורך בביצוע הפרשה לירידת ערך על</t>
  </si>
  <si>
    <t>פי סב״ה, שהיא חלק ממודל העלות.</t>
  </si>
  <si>
    <t>עלות מופחתת ל-31/12/2015 טרם בדיקה:</t>
  </si>
  <si>
    <r>
      <t xml:space="preserve">התשובה - נחשב את </t>
    </r>
    <r>
      <rPr>
        <b/>
        <u/>
        <sz val="12"/>
        <color theme="1"/>
        <rFont val="David"/>
      </rPr>
      <t>הסכום בר ההשבה</t>
    </r>
    <r>
      <rPr>
        <sz val="12"/>
        <color theme="1"/>
        <rFont val="David"/>
      </rPr>
      <t xml:space="preserve"> שהוא </t>
    </r>
    <r>
      <rPr>
        <b/>
        <u/>
        <sz val="12"/>
        <color theme="1"/>
        <rFont val="David"/>
      </rPr>
      <t>הגבוה</t>
    </r>
    <r>
      <rPr>
        <sz val="12"/>
        <color theme="1"/>
        <rFont val="David"/>
      </rPr>
      <t xml:space="preserve"> מבין השניים הבאים:</t>
    </r>
  </si>
  <si>
    <t xml:space="preserve">שיעור ההיוון החודשי הנו 1%. (אין נתונים המעידים על שינוי באורך החיים השימושיים של הנכס). </t>
  </si>
  <si>
    <t>אורך חיים מקורי בשנים</t>
  </si>
  <si>
    <t>שנים שחלפו עד ערב בדיקת הסב״ה</t>
  </si>
  <si>
    <t>מחצית 2012, וכל אחת מהשנים: 2013, 2014, 2015</t>
  </si>
  <si>
    <t>יתרת אורך חיים מ-31/12/2015 קדימה</t>
  </si>
  <si>
    <t xml:space="preserve">10 - 3.5 = </t>
  </si>
  <si>
    <t>מספר התזרימים בשנה (תזרימים חודשיים)</t>
  </si>
  <si>
    <t>סך הכל מספר התזרימים:</t>
  </si>
  <si>
    <t xml:space="preserve">6.5 * 12 = </t>
  </si>
  <si>
    <t>נתון - שיעור ההיוון (ריבית) לחודש</t>
  </si>
  <si>
    <t>מספר התזרימים החודשיים</t>
  </si>
  <si>
    <t>ככלל, הסכום בר ההשבה הוא הגבוה מבין שווי הוגן בניכוי עלויות מכירה לבין שווי שימוש נטו.</t>
  </si>
  <si>
    <t xml:space="preserve">בהיעדר נתוני שווי הוגן, נתבסס על מה שקיים ואפשרי - שווי שימוש נטו לצורך אומדן הסב״ה. </t>
  </si>
  <si>
    <t>נמוך יותר מערך הספרים ערב הבדיקה! ירידת ערך כלכלית בוודאות.</t>
  </si>
  <si>
    <t>יתרת קרן הערכה מחדש 31/12/2014</t>
  </si>
  <si>
    <t>הפחתת קרן הערכה מחדש 2015</t>
  </si>
  <si>
    <t>יתרת קרן הערכה מחדש 31/12/2015</t>
  </si>
  <si>
    <t>טרם ניתן ביטוי לי״ע כלכלית</t>
  </si>
  <si>
    <t>ירידת ערך</t>
  </si>
  <si>
    <t>כלכלית</t>
  </si>
  <si>
    <t>עד לתקרה</t>
  </si>
  <si>
    <t>שהיא יתרת</t>
  </si>
  <si>
    <t>קרן הערכה</t>
  </si>
  <si>
    <t>אזקוף כנגד</t>
  </si>
  <si>
    <t>ורווח כולל אחר</t>
  </si>
  <si>
    <r>
      <t>ולא</t>
    </r>
    <r>
      <rPr>
        <sz val="12"/>
        <color theme="1"/>
        <rFont val="David"/>
      </rPr>
      <t xml:space="preserve"> לרווח והפסד</t>
    </r>
  </si>
  <si>
    <t xml:space="preserve">ירידה שהיא </t>
  </si>
  <si>
    <t>מעבר ליתרת</t>
  </si>
  <si>
    <t>קרן הערכה (השארית)</t>
  </si>
  <si>
    <t xml:space="preserve">אזקוף כנגד הפרשה לירידת </t>
  </si>
  <si>
    <t>ערך ואכיר בהתאם</t>
  </si>
  <si>
    <t xml:space="preserve">בהפסד מי״ע בדוח </t>
  </si>
  <si>
    <t>רווח והפסד</t>
  </si>
  <si>
    <t xml:space="preserve">נזקוף את כל הירידה כנגד קרן הערכה מחדש (ולא כנגד רוו״ה). </t>
  </si>
  <si>
    <t>הואיל ובמקרה שלנו ירידת הערך הכלכלית (4,778) נמוכה מיתרת הקרן (10,833)</t>
  </si>
  <si>
    <t>מודל הערכה</t>
  </si>
  <si>
    <t>מודל עלות</t>
  </si>
  <si>
    <t>מקי הנסיכה</t>
  </si>
  <si>
    <t>א. נכס בעל אורך חיים בלתי מוגדר.</t>
  </si>
  <si>
    <t>ב. שינוי לאורך חיים מוגדר וחזרה.</t>
  </si>
  <si>
    <t>ג. מסים על ההכנסה.</t>
  </si>
  <si>
    <t>ד. מודל הערכה מחדש.</t>
  </si>
  <si>
    <t>ה. שוק פעיל, הפסקתו וחזרה אליו.</t>
  </si>
  <si>
    <t xml:space="preserve">ב. החברה מאפסת את ההפחתה הנצברת בכל מועד הערכה מחדש. </t>
  </si>
  <si>
    <t>ג. החברה מפחיתה את קרן ההערכה מחדש לעודפים בקצב ההפחתה.</t>
  </si>
  <si>
    <t xml:space="preserve">במועד הרכישה של הנב״מ - הכרה בעלות הנכס (לרבות עלויות נלוות חיוניות להשלמת עסקת הרכש) </t>
  </si>
  <si>
    <t xml:space="preserve">ההכרחיות להבאת הזיכיון למצב שמיש (להשלמת עסקת רכישתו). </t>
  </si>
  <si>
    <t>כעת - לכאורה: נרצה להכיר בהוצאות הפחתה שנתיות כמקובל... האמנם?</t>
  </si>
  <si>
    <t>נרשם כי תקופת הזיכיון היא 8 שנים (לכאורה תקופת הפחתתו), אך לאור העובדה שניתן לחדשו בעלות</t>
  </si>
  <si>
    <t>בלתי משמעותית ובאופן בלתי מוגבל, והחברה מצפה לנצל זכות זו ולבצע חידושים כאמור, על פי IAS 38:</t>
  </si>
  <si>
    <r>
      <rPr>
        <b/>
        <sz val="12"/>
        <color rgb="FF00B050"/>
        <rFont val="David"/>
      </rPr>
      <t>בהנתן זכות חידוש לנכס נב״מ בעלות בלתי משמעותית שהחברה צופה לנצל - נתייחס לאורך חייו כבלתי מוגדר</t>
    </r>
    <r>
      <rPr>
        <sz val="12"/>
        <color rgb="FF00B050"/>
        <rFont val="David"/>
      </rPr>
      <t>.</t>
    </r>
  </si>
  <si>
    <t>זאת משום שאפשרות החידוש לא מוגבלת בזמן.</t>
  </si>
  <si>
    <t>אילו היה נתון שניתן לחדש את הזיכיון פעמיים בלבד בעלות בלתי משמעותית - במצב כזה, אורך החיים</t>
  </si>
  <si>
    <t>היה מוגדר כ-24 שנים (8 שנים מקוריות + 2 תקופות חידוש של 8 שנים כל אחת). ואז היינו מפחיתים על פני 24.</t>
  </si>
  <si>
    <t xml:space="preserve">ואם כך: הואיל וזיהיתי אפשרות חידוש לתקופה בלתי מוגבלת בעלות בלתי משמעותית שהחברה מצפה לנצל, </t>
  </si>
  <si>
    <t>הרי שאורך החיים בלתי מוגדר. ולכן:</t>
  </si>
  <si>
    <t>ב. לתום כל שנה עלינו לבחון האם עדיין אורך החיים בלתי מוגדר, וכן:</t>
  </si>
  <si>
    <t xml:space="preserve">ג. לתום כל שנה עלינו לבחון מהו הסכום בר ההשבה (סב״ה) ולבחון קיום ירידת ערך. </t>
  </si>
  <si>
    <r>
      <t xml:space="preserve">א. </t>
    </r>
    <r>
      <rPr>
        <b/>
        <u/>
        <sz val="12"/>
        <color rgb="FF00B050"/>
        <rFont val="David"/>
      </rPr>
      <t>אין</t>
    </r>
    <r>
      <rPr>
        <b/>
        <sz val="12"/>
        <color theme="1"/>
        <rFont val="David"/>
      </rPr>
      <t xml:space="preserve"> לרשום הוצאות הפחתה בגין הנב״מ בשנת 2006, וכן:</t>
    </r>
  </si>
  <si>
    <t>הואיל ואורך החיים בלתי מוגדר ולכן לא רשמנו הוצאות הפחתה ב-2006, הרי שערך הספרים העדכני לתום שנת 2006</t>
  </si>
  <si>
    <t>לפי העלות</t>
  </si>
  <si>
    <t>שימו לב, אמנם עקרונית צריך לבדוק (הואיל ומדובר בנכס בעל אורך חיים בלתי מוגדר) את סב״ה מול</t>
  </si>
  <si>
    <t>בהינתן שמתקיים שוק פעיל עד וכולל תום 2018 בנתוני השאלה, נשערך - ואת עליית הערך נזקוף לקרן הערכה מחדש:</t>
  </si>
  <si>
    <t>לפי שווי הוגן עדכני בשוק הפעיל שאליו שערכתי את הנכס למועד זה</t>
  </si>
  <si>
    <t>לא רשמנו הפחתה / הפחתה נצברת כי אורך החיים בלתי מוגדר</t>
  </si>
  <si>
    <t>כי השווי לא ירד, רק עלה</t>
  </si>
  <si>
    <t>קרן ״ברוטו״ בניכוי השפעת מס נדחה המקוזזת ממנו</t>
  </si>
  <si>
    <t>ראו לעיל</t>
  </si>
  <si>
    <t xml:space="preserve">א. הפחתה: אין הפחתה, לא של הנכס עצמו, לא של קרן הערכה - כי אורך החיים עודנו בלתי מוגדר. </t>
  </si>
  <si>
    <t xml:space="preserve">ב. הערכה מחדש: בהתאם לשינוי בשווי. </t>
  </si>
  <si>
    <t xml:space="preserve">ג. בדיקת סב״ה. </t>
  </si>
  <si>
    <t xml:space="preserve">ד. שינוי במסים נדחים לפי הצורך. </t>
  </si>
  <si>
    <t>הפחתה</t>
  </si>
  <si>
    <t>אין הפחתה - כי אורך החיים בלתי מוגדר.</t>
  </si>
  <si>
    <t>ערך ספרים לפני שערוך</t>
  </si>
  <si>
    <t xml:space="preserve">450,000 - 420,000 = </t>
  </si>
  <si>
    <t>גם השנה, בהיעדר הפרשה לירידת ערך משנים קודמים, את עליית הערך הנוספת הזו נזקוף לקרן הערכה מחדש:</t>
  </si>
  <si>
    <t>בדיקת סב״ה</t>
  </si>
  <si>
    <t>הואיל ואורך החיים של הנכס בלתי מוגדר, יש לבחון בנוסף האם הסב״ה נמוך ובמידת הצורך לבצע טיפול בירידת</t>
  </si>
  <si>
    <r>
      <t xml:space="preserve">ערך בהתאם. אלא שכאן </t>
    </r>
    <r>
      <rPr>
        <b/>
        <sz val="12"/>
        <color theme="1"/>
        <rFont val="David"/>
      </rPr>
      <t>נתון בשאלה</t>
    </r>
    <r>
      <rPr>
        <sz val="12"/>
        <color theme="1"/>
        <rFont val="David"/>
      </rPr>
      <t xml:space="preserve"> שהסב״ה לתום 2007 הוא 470,000 ש״ח. ולכן אין ספק - אין ירידה לפיו. </t>
    </r>
  </si>
  <si>
    <t>שבהם צריך לפצל את ההתייחסות, לא נוכל לעבוד בגישה אוטומטית מקוצרת זו.</t>
  </si>
  <si>
    <t>יש שוק פעיל, מדידה לפי שווי הוגן, הסב״ה לא הקטין אל מתחת לכך</t>
  </si>
  <si>
    <t>אורך חיים בלתי מוגדר, אין הוצאות הפחתה, אין הפחתה נצברת</t>
  </si>
  <si>
    <t>אין, כי בינתיים - השווי רק עולה</t>
  </si>
  <si>
    <t>יתרת קרן הערכה 31.12.2006</t>
  </si>
  <si>
    <t>עלייה בקרן</t>
  </si>
  <si>
    <t>ברוטו</t>
  </si>
  <si>
    <t>בסך 30,000</t>
  </si>
  <si>
    <t>בעקבות השערוך</t>
  </si>
  <si>
    <t>קיזוז השפעת</t>
  </si>
  <si>
    <t>מס על הגידול</t>
  </si>
  <si>
    <t xml:space="preserve">הת׳ </t>
  </si>
  <si>
    <t>י״פ: 18,000</t>
  </si>
  <si>
    <t>עלייה: 9,000</t>
  </si>
  <si>
    <t xml:space="preserve">זיהוי אורך חיים כבלתי מוגדר הוא חיוני - בין אם נתון מפורשות ובין אם נובע מיכולת חידוש שצפוי לממשה </t>
  </si>
  <si>
    <t>אורך חיים בלתי מוגדר מוביל לאי-רישום הוצאות הפחתה, ודורש (בהתקיים התנאים לשערוך) להתייחס גם לשווי</t>
  </si>
  <si>
    <t xml:space="preserve">ההוגן (לטובת השערוך עצמו) וגם לסכום בר ההשבה (לטובת וידוא היעדר ירידת ערך). </t>
  </si>
  <si>
    <t xml:space="preserve">כל עוד השינויים בערך הספרים נזקפים כנגד קרן הון - ייחוס המסים יקוזז מקרן הון זו. </t>
  </si>
  <si>
    <t>בעלות בלתי משמעותית ולתקופה בלתי מוגבלת.</t>
  </si>
  <si>
    <t>בקצרה: החלטה על אי חידוש &gt;&gt;&gt; מעבר לאורך חיים מוגדר &gt;&gt;&gt; תחילת הפחתה &gt;&gt;&gt; סממן פוטנציאלי לי״ע</t>
  </si>
  <si>
    <t xml:space="preserve">              כאן ספציפית &gt;&gt;&gt; סב״ה גבוה בטירוף &gt;&gt;&gt; אין לבחון הפרשה.</t>
  </si>
  <si>
    <t>נכון ל-31/12/2017 יתרת הנכס בספרים, נטו, היתה:</t>
  </si>
  <si>
    <t>שווי הוגן עדכני</t>
  </si>
  <si>
    <t>נתון בטבלת הנתונים בשאלה ל-31/12/2008</t>
  </si>
  <si>
    <t>יתרת קרן הערכה עדכנית</t>
  </si>
  <si>
    <t xml:space="preserve">63,000 * 5/6 = </t>
  </si>
  <si>
    <t>יתרת קרן 31.12.2007</t>
  </si>
  <si>
    <t>אורך חיים מתחילת</t>
  </si>
  <si>
    <t>ההפחתה: 6, חלפה שנה אחת</t>
  </si>
  <si>
    <t>סב״ה נתון לתום 2008</t>
  </si>
  <si>
    <r>
      <t xml:space="preserve">י״ע כלכלית </t>
    </r>
    <r>
      <rPr>
        <b/>
        <sz val="12"/>
        <color theme="1"/>
        <rFont val="David"/>
      </rPr>
      <t>נוספת</t>
    </r>
  </si>
  <si>
    <t xml:space="preserve">90,000 * (1 - 30%) = </t>
  </si>
  <si>
    <t>סך עליות הערך</t>
  </si>
  <si>
    <t>בשנים 2006, 2007</t>
  </si>
  <si>
    <t>נטרול מסים לטובת קרן נטו</t>
  </si>
  <si>
    <t>את הדיון בשנה הקודמת סיימנו בכך שנכון ליום 31.12.2008 היה ברשותנו נכס, שערך הספרים שלו 250,000 ש״ח,</t>
  </si>
  <si>
    <t xml:space="preserve">250,000 - 50,000 = </t>
  </si>
  <si>
    <t>נתון סב״ה ליום 31/12/2009 בנתוני השאלה</t>
  </si>
  <si>
    <t>הצדקה של ביטול יתרת ההפרשה</t>
  </si>
  <si>
    <t>עליית ערך וזקיפתה לקרן הון - 31/12/2010</t>
  </si>
  <si>
    <t>שווי הוגן עדכני-נתון בשאלה</t>
  </si>
  <si>
    <t xml:space="preserve">453,515 * 5% = </t>
  </si>
  <si>
    <t xml:space="preserve">476,190 * 5% = </t>
  </si>
  <si>
    <t>יתרת קרן לתום 2019, נטו</t>
  </si>
  <si>
    <t>נטרול מס</t>
  </si>
  <si>
    <t>י״פ קרן ברוטו - 31.12.2019</t>
  </si>
  <si>
    <t>,=146485/8</t>
  </si>
  <si>
    <t xml:space="preserve">     הפחתת תקרן נטו לאחר נטרול מס או:</t>
  </si>
  <si>
    <t>נרשם כברוטו</t>
  </si>
  <si>
    <t xml:space="preserve">33,692 - 4,211 = </t>
  </si>
  <si>
    <t xml:space="preserve">96,825 * 23% = </t>
  </si>
  <si>
    <t>למעשה באופן מקוצר:</t>
  </si>
  <si>
    <t>יצאנו מיתרת פתיחה של התחייבות למס נדחה.</t>
  </si>
  <si>
    <t>חלק ממנה קטן אוטומטית ״בקצב הפחת״ ואותו נזקוף</t>
  </si>
  <si>
    <t>כנגד רווח והפסד;</t>
  </si>
  <si>
    <t xml:space="preserve">כל יתר הקיטון בהתחייבות נובע בהכרח מאיפוס הקרן, </t>
  </si>
  <si>
    <t>ואותו נזקוף לרווח כולל אחר / קרן;</t>
  </si>
  <si>
    <t>והנכס שנוצר כמובן נובע מהכרה בהרפשה להפסד, כנגד רווח והפסד,</t>
  </si>
  <si>
    <t>ולכן השפעת המס בגינו, ברווח והפסד גם.</t>
  </si>
  <si>
    <t>תהליך עבודה מקוצר שהציעה שילת - החל מנקודת הקרן ברוטו:</t>
  </si>
  <si>
    <t>*</t>
  </si>
  <si>
    <t>כאשר מזהים ירידת ערך חזקה ומתקיימת קרן הערכה:</t>
  </si>
  <si>
    <t>יתרת קרן הערכה מחדש לתחילת התקופה - ומנטרלת מס</t>
  </si>
  <si>
    <t>אם אורך החיים מוגדר - הפחתת הקרן ברוטו בקצב הפחת</t>
  </si>
  <si>
    <t>סיכום ביניים - יתרת קרן לאחר הפחתה ולפני י״ע</t>
  </si>
  <si>
    <t>ועכשיו, נביט על ירידת הערך:</t>
  </si>
  <si>
    <t>y</t>
  </si>
  <si>
    <t>ירידה מירבית</t>
  </si>
  <si>
    <t>y - c</t>
  </si>
  <si>
    <t>רק אם יש ירידת ערך</t>
  </si>
  <si>
    <t xml:space="preserve">נוספת - נזקפת כנגד </t>
  </si>
  <si>
    <t>רווח והפסד (ויצירת הפרשה)</t>
  </si>
  <si>
    <t>ומה לגבי מסים?</t>
  </si>
  <si>
    <t>יתרת הפתיחה של ההתחייבות למס נדחה</t>
  </si>
  <si>
    <t>הפחתת ההתחייבות בעקבות הפחתה ברוו״ה של הנכס</t>
  </si>
  <si>
    <t>ירידת ערך כנגד קרן</t>
  </si>
  <si>
    <t>יתרת התחייבות למס נדחה</t>
  </si>
  <si>
    <t>יתרת נכס מס נדחה</t>
  </si>
  <si>
    <t>שינוי נוסף - הכרה בהפסד שהובילה לנכס מס נדחה - רוו״ה</t>
  </si>
  <si>
    <t>-b</t>
  </si>
  <si>
    <t>M-b</t>
  </si>
  <si>
    <t>ערך ספרים אחרון ואורך חיים נותר</t>
  </si>
  <si>
    <t>מופחתת על פני אורך החיים הנותר</t>
  </si>
  <si>
    <t>או: סיכום הוצאות הפחתה והפחתת הפרשה</t>
  </si>
  <si>
    <t>הגדלת נכס המס הנדחה - מ-22,270 ל-23,031</t>
  </si>
  <si>
    <t>השפעה מול רווח והפסד</t>
  </si>
  <si>
    <t>למעשה, הואיל ומדיניות החברה היא ליישם את מודל הערכה מחדש כנתון, הנחת העבודה הסבירה</t>
  </si>
  <si>
    <t>ביותר היא שיש לחזור ליישם את המודל אלא יש סיבה ברורה המעידה על השינוי.</t>
  </si>
  <si>
    <t>הואיל וסכום עליית הערך הכלכלית</t>
  </si>
  <si>
    <t>גבוה מסכום ההפרשה, נכיר בכל העלייה</t>
  </si>
  <si>
    <t xml:space="preserve">כנגד ההפרשה והכרה ברווח </t>
  </si>
  <si>
    <t>יתרת העלייה כנגד ק. הון (רווח כולל אחר)</t>
  </si>
  <si>
    <r>
      <t xml:space="preserve">הפחתת נכס המס הנדחה בקצב הפחת - </t>
    </r>
    <r>
      <rPr>
        <b/>
        <sz val="12"/>
        <rFont val="David"/>
      </rPr>
      <t>כנגד רוו״ה:</t>
    </r>
  </si>
  <si>
    <r>
      <t xml:space="preserve">איפוס מוחלט של נכס המס הנדחה - </t>
    </r>
    <r>
      <rPr>
        <b/>
        <sz val="12"/>
        <rFont val="David"/>
      </rPr>
      <t>כנגד רוו״ה</t>
    </r>
    <r>
      <rPr>
        <sz val="12"/>
        <rFont val="David"/>
      </rPr>
      <t>:</t>
    </r>
  </si>
  <si>
    <r>
      <t xml:space="preserve">ההשפעה של עליית ערך נוספת - כנגד קרן הון - </t>
    </r>
    <r>
      <rPr>
        <b/>
        <sz val="12"/>
        <rFont val="David"/>
      </rPr>
      <t>רווח כולל אחר</t>
    </r>
    <r>
      <rPr>
        <sz val="12"/>
        <rFont val="David"/>
      </rPr>
      <t>:</t>
    </r>
  </si>
  <si>
    <r>
      <t xml:space="preserve">הטבות, במקרה של </t>
    </r>
    <r>
      <rPr>
        <b/>
        <sz val="12"/>
        <color rgb="FF00B050"/>
        <rFont val="David"/>
      </rPr>
      <t>נכסים</t>
    </r>
    <r>
      <rPr>
        <sz val="12"/>
        <color theme="1"/>
        <rFont val="David"/>
      </rPr>
      <t xml:space="preserve">, או בהתאם לצפי </t>
    </r>
    <r>
      <rPr>
        <b/>
        <sz val="12"/>
        <color rgb="FFFF0000"/>
        <rFont val="David"/>
      </rPr>
      <t>היציאה של הטבות כלכליות</t>
    </r>
    <r>
      <rPr>
        <sz val="12"/>
        <color theme="1"/>
        <rFont val="David"/>
      </rPr>
      <t xml:space="preserve"> - במקרה של </t>
    </r>
    <r>
      <rPr>
        <b/>
        <sz val="12"/>
        <color rgb="FFFF0000"/>
        <rFont val="David"/>
      </rPr>
      <t>התחייבויות</t>
    </r>
    <r>
      <rPr>
        <sz val="12"/>
        <color theme="1"/>
        <rFont val="David"/>
      </rPr>
      <t>.</t>
    </r>
  </si>
  <si>
    <r>
      <t xml:space="preserve">ככלל: בהגדרה, אנו מכירים </t>
    </r>
    <r>
      <rPr>
        <b/>
        <sz val="12"/>
        <color rgb="FF00B050"/>
        <rFont val="David"/>
      </rPr>
      <t>בנכסים</t>
    </r>
    <r>
      <rPr>
        <b/>
        <sz val="12"/>
        <color rgb="FFFF0000"/>
        <rFont val="David"/>
      </rPr>
      <t xml:space="preserve"> ובהתחייבויות</t>
    </r>
    <r>
      <rPr>
        <sz val="12"/>
        <color theme="1"/>
        <rFont val="David"/>
      </rPr>
      <t xml:space="preserve"> לפי </t>
    </r>
    <r>
      <rPr>
        <u/>
        <sz val="12"/>
        <color theme="1"/>
        <rFont val="David"/>
      </rPr>
      <t>המסגרת המושגית</t>
    </r>
    <r>
      <rPr>
        <sz val="12"/>
        <color theme="1"/>
        <rFont val="David"/>
      </rPr>
      <t xml:space="preserve"> בהתאם </t>
    </r>
    <r>
      <rPr>
        <b/>
        <sz val="12"/>
        <color rgb="FF00B050"/>
        <rFont val="David"/>
      </rPr>
      <t>לצפי הכניסה</t>
    </r>
    <r>
      <rPr>
        <sz val="12"/>
        <color theme="1"/>
        <rFont val="David"/>
      </rPr>
      <t xml:space="preserve"> הצפויה של </t>
    </r>
  </si>
  <si>
    <r>
      <t>אלא שעצם הדיון במונח ״</t>
    </r>
    <r>
      <rPr>
        <b/>
        <u/>
        <sz val="12"/>
        <color theme="1"/>
        <rFont val="David"/>
      </rPr>
      <t>צפי</t>
    </r>
    <r>
      <rPr>
        <sz val="12"/>
        <color theme="1"/>
        <rFont val="David"/>
      </rPr>
      <t xml:space="preserve">״ הוא בעייתי. </t>
    </r>
    <r>
      <rPr>
        <b/>
        <sz val="12"/>
        <color rgb="FF0070C0"/>
        <rFont val="David"/>
      </rPr>
      <t>צפי כפוף להסתברות</t>
    </r>
    <r>
      <rPr>
        <sz val="12"/>
        <color theme="1"/>
        <rFont val="David"/>
      </rPr>
      <t xml:space="preserve">. הוא </t>
    </r>
    <r>
      <rPr>
        <b/>
        <u/>
        <sz val="12"/>
        <color theme="1"/>
        <rFont val="David"/>
      </rPr>
      <t>לא ודאי</t>
    </r>
    <r>
      <rPr>
        <sz val="12"/>
        <color theme="1"/>
        <rFont val="David"/>
      </rPr>
      <t>, בהגדרה. ונשאלת השאלה,</t>
    </r>
  </si>
  <si>
    <r>
      <t xml:space="preserve">כיצד לטפל </t>
    </r>
    <r>
      <rPr>
        <b/>
        <u/>
        <sz val="12"/>
        <color theme="1"/>
        <rFont val="David"/>
      </rPr>
      <t>באי ודאות</t>
    </r>
    <r>
      <rPr>
        <sz val="12"/>
        <color theme="1"/>
        <rFont val="David"/>
      </rPr>
      <t xml:space="preserve">, וכיצד לטפל במצבים שבהם </t>
    </r>
    <r>
      <rPr>
        <b/>
        <u/>
        <sz val="12"/>
        <color theme="1"/>
        <rFont val="David"/>
      </rPr>
      <t>הצפי לכניסה או ליציאה</t>
    </r>
    <r>
      <rPr>
        <b/>
        <sz val="12"/>
        <color theme="1"/>
        <rFont val="David"/>
      </rPr>
      <t xml:space="preserve"> של הטבות קשור </t>
    </r>
    <r>
      <rPr>
        <b/>
        <u/>
        <sz val="12"/>
        <color theme="1"/>
        <rFont val="David"/>
      </rPr>
      <t>להתרחשות</t>
    </r>
    <r>
      <rPr>
        <b/>
        <sz val="12"/>
        <color theme="1"/>
        <rFont val="David"/>
      </rPr>
      <t xml:space="preserve"> או</t>
    </r>
    <r>
      <rPr>
        <sz val="12"/>
        <color theme="1"/>
        <rFont val="David"/>
      </rPr>
      <t xml:space="preserve"> </t>
    </r>
  </si>
  <si>
    <t xml:space="preserve">בקצרה: נכס רגיל / התחייבות רגילה = הסתברות מאד גבוהה לכניסה או יציאה של משאבים. </t>
  </si>
  <si>
    <t xml:space="preserve">נכס ״תלוי״ / התחייבות ״תלויה״ = הסתברות שיכולה לנוע בטווח ערכים (נמוכה, בינונית, גבוהה) - בהתאם </t>
  </si>
  <si>
    <t>להסתברות ההתרחשות של אירוע נוסף.</t>
  </si>
  <si>
    <t>המחשה:</t>
  </si>
  <si>
    <r>
      <t>הגשנו תביעה כנגד ספק או לקוח. ייתכן שנוכל לטעון שבהסתברות חיובית צפויה</t>
    </r>
    <r>
      <rPr>
        <b/>
        <sz val="12"/>
        <color theme="1"/>
        <rFont val="David"/>
      </rPr>
      <t xml:space="preserve"> הטבה</t>
    </r>
    <r>
      <rPr>
        <sz val="12"/>
        <color theme="1"/>
        <rFont val="David"/>
      </rPr>
      <t xml:space="preserve">. אבל האם ההטבה ודאית? </t>
    </r>
  </si>
  <si>
    <t xml:space="preserve">או קרובה לודאית? אנחנו נטען שלא, שכן הדבר תלוי בהחלטת בית המשפט בנושא = התנאי ה״מתלה״. </t>
  </si>
  <si>
    <t xml:space="preserve">מן העבר השני, אם הוגשה תביעה כנגדנו, ייתכן שנוכל לטעון שבהסתברות חיובית נצטרך להוציא משאבים, </t>
  </si>
  <si>
    <t>אבל האם יציאת המשאבים ודאית? או קרובה לודאית? לא בטוח; הדבר תלוי בהחלטת בית המשפט = התנאי המתלה.</t>
  </si>
  <si>
    <r>
      <t xml:space="preserve">בהתאמה - וכן בהקשר </t>
    </r>
    <r>
      <rPr>
        <u/>
        <sz val="12"/>
        <color theme="1"/>
        <rFont val="David"/>
      </rPr>
      <t>לגילוי</t>
    </r>
    <r>
      <rPr>
        <sz val="12"/>
        <color theme="1"/>
        <rFont val="David"/>
      </rPr>
      <t xml:space="preserve"> (מידע נוסף רלוונטי לגביהן) המתבקש בדבר אותן תלויות.</t>
    </r>
  </si>
  <si>
    <t>ב. לא יינתן בגינה גילוי (בביאורים) בביאורים</t>
  </si>
  <si>
    <t xml:space="preserve">ג. עשויה שלא להיות מוכרת (בדוחות עצמם) כתוצאה מהיעדר היכולת לבצע אמידה מהימנה של ההטבות הכלכליות הצפויות לצאת </t>
  </si>
  <si>
    <r>
      <t xml:space="preserve">החשבונאות היא </t>
    </r>
    <r>
      <rPr>
        <b/>
        <sz val="12"/>
        <color rgb="FFFF0000"/>
        <rFont val="David"/>
      </rPr>
      <t>שמרנית</t>
    </r>
    <r>
      <rPr>
        <sz val="12"/>
        <color theme="1"/>
        <rFont val="David"/>
      </rPr>
      <t xml:space="preserve">; ושמרנות זו מתבטאת בין היתר </t>
    </r>
    <r>
      <rPr>
        <b/>
        <sz val="12"/>
        <color rgb="FFFF0000"/>
        <rFont val="David"/>
      </rPr>
      <t>בהימנעות מהערכת יתר של נכסים והכנסות</t>
    </r>
    <r>
      <rPr>
        <sz val="12"/>
        <color theme="1"/>
        <rFont val="David"/>
      </rPr>
      <t>, לרבות במקרה</t>
    </r>
  </si>
  <si>
    <r>
      <t xml:space="preserve">שבו עצם קיום הנכס או </t>
    </r>
    <r>
      <rPr>
        <b/>
        <sz val="12"/>
        <color rgb="FF00B050"/>
        <rFont val="David"/>
      </rPr>
      <t>הצפי להטבה כלכלית קשור בקיום אירוע עתידי שאיננו ודאי</t>
    </r>
    <r>
      <rPr>
        <sz val="12"/>
        <color theme="1"/>
        <rFont val="David"/>
      </rPr>
      <t>;</t>
    </r>
  </si>
  <si>
    <t>לא רושמים בדוחות (במאזן)</t>
  </si>
  <si>
    <t>נכסים תלויים. נקודה. לא מכירים!</t>
  </si>
  <si>
    <r>
      <t xml:space="preserve">יחד עם זאת, ולמרות אי קיום קריטריון ההכרה לגבי נכסים תלויים באשר הם - עדיין יש לתת </t>
    </r>
    <r>
      <rPr>
        <b/>
        <sz val="12"/>
        <color theme="1"/>
        <rFont val="David"/>
      </rPr>
      <t>בגינם גילוי (בביאורים)</t>
    </r>
    <r>
      <rPr>
        <sz val="12"/>
        <color theme="1"/>
        <rFont val="David"/>
      </rPr>
      <t xml:space="preserve">, משום </t>
    </r>
  </si>
  <si>
    <t>וכך למעשה, הטיפול בהתחייבויות תלויות ובנכסים תלויים איננו ״סימטרי״ (איננו אחיד / זהה):</t>
  </si>
  <si>
    <t>התחייבויות תלויות --- אם עולות לגדר ״הפרשה״ --- יוכרו בדוחות.</t>
  </si>
  <si>
    <t>נכסים תלויים --- לא מוכרים.</t>
  </si>
  <si>
    <t xml:space="preserve">בשני המקרים, ניתן וראוי להעניק גילוי ככל שיש השפעה מהותית לאירוע. </t>
  </si>
  <si>
    <r>
      <rPr>
        <b/>
        <sz val="12"/>
        <color rgb="FF0070C0"/>
        <rFont val="David"/>
      </rPr>
      <t>של חצי שנה</t>
    </r>
    <r>
      <rPr>
        <sz val="12"/>
        <color theme="1"/>
        <rFont val="David"/>
      </rPr>
      <t xml:space="preserve">, במסגרתה מובטח כי המוצר מקיים את המפרט שהוסכם עם הלקוח (להלן: ״האחריות הרגילה״). </t>
    </r>
  </si>
  <si>
    <r>
      <t xml:space="preserve">לחברה </t>
    </r>
    <r>
      <rPr>
        <b/>
        <sz val="12"/>
        <color theme="1"/>
        <rFont val="David"/>
      </rPr>
      <t>שני סוגי הסכמים עם לקוחות</t>
    </r>
    <r>
      <rPr>
        <sz val="12"/>
        <color theme="1"/>
        <rFont val="David"/>
      </rPr>
      <t xml:space="preserve">: </t>
    </r>
    <r>
      <rPr>
        <b/>
        <sz val="12"/>
        <color rgb="FF0070C0"/>
        <rFont val="David"/>
      </rPr>
      <t>הסכם מסוג אחד כולל אחריות רגילה, המתחייבת מכח החוק, לתקופה</t>
    </r>
  </si>
  <si>
    <r>
      <rPr>
        <b/>
        <sz val="12"/>
        <color rgb="FF00B050"/>
        <rFont val="David"/>
      </rPr>
      <t>הסכם מסוג שני כולל אחריות מורחבת לתקופה של שלוש שנים</t>
    </r>
    <r>
      <rPr>
        <sz val="12"/>
        <color theme="1"/>
        <rFont val="David"/>
      </rPr>
      <t xml:space="preserve"> הכוללת את הארכת תקופת האחריות הרגילה</t>
    </r>
  </si>
  <si>
    <t>שימו לב: המטרה היא לזהות את ההכנסות ממכירת קורקינט, ולא הכנסות מדמי אחריות / מהכנסות ״ביטוח קורקינט״).</t>
  </si>
  <si>
    <t xml:space="preserve">אם קיימת עסקה מכירה ״מאוחדת״ שכוללת שני רכיבים נפרדים, </t>
  </si>
  <si>
    <r>
      <t xml:space="preserve">במקרה זה - </t>
    </r>
    <r>
      <rPr>
        <u/>
        <sz val="12"/>
        <color theme="1"/>
        <rFont val="David"/>
      </rPr>
      <t>קורקינט</t>
    </r>
    <r>
      <rPr>
        <sz val="12"/>
        <color theme="1"/>
        <rFont val="David"/>
      </rPr>
      <t xml:space="preserve"> ו</t>
    </r>
    <r>
      <rPr>
        <u/>
        <sz val="12"/>
        <color theme="1"/>
        <rFont val="David"/>
      </rPr>
      <t>הרחבת אחריות</t>
    </r>
    <r>
      <rPr>
        <sz val="12"/>
        <color theme="1"/>
        <rFont val="David"/>
      </rPr>
      <t xml:space="preserve"> ביחד, באותו מעמד;</t>
    </r>
  </si>
  <si>
    <r>
      <t xml:space="preserve">שימוש </t>
    </r>
    <r>
      <rPr>
        <b/>
        <sz val="12"/>
        <color theme="1"/>
        <rFont val="David"/>
      </rPr>
      <t>ביחסי התמורה בעסקה נפרדת</t>
    </r>
    <r>
      <rPr>
        <sz val="12"/>
        <color theme="1"/>
        <rFont val="David"/>
      </rPr>
      <t xml:space="preserve"> (קורקינט בנפרד </t>
    </r>
  </si>
  <si>
    <t>הפרשה לתביעה (התחייבויות)</t>
  </si>
  <si>
    <t>נכס שיפוי</t>
  </si>
  <si>
    <t>שימו לב: למרות שקיים צפי בהסתברות ״קרובה לוודאית״ לקבל 1,000,000 בתוספת 20%, קובע IAS 37 ש:</t>
  </si>
  <si>
    <t xml:space="preserve">א. סכום נכס השיפוי לא יעלה על ההפרשה (מוגבל ל-1,000,000 במקרה זה). </t>
  </si>
  <si>
    <t>ב. נכס השיפוי יוצג בנפרד, הוא לא יקוזז / יקטין את אופן הצגת ההתחייבות.</t>
  </si>
  <si>
    <t>הערה:</t>
  </si>
  <si>
    <t>עצם העובדה שהוגשה תביעה בסכום 3,000,000 היא בגדר נתון סרק.</t>
  </si>
  <si>
    <t>בבואנו לדון בהתחייבויות ובהשפעות הכספיות של תביעה, מה שמעניין אותנו זהו הסכום הכספי שצפוי לצאת בעקבות האירוע;</t>
  </si>
  <si>
    <t>ואם על פי חוות הדעת המהימנה ביותר של יועציי המשפטיים הבכירים היקף הנזק צפוי להיות 1,000,000, זהו הסכום שיוכר</t>
  </si>
  <si>
    <t>בהתאם כהתחייבות.</t>
  </si>
  <si>
    <t xml:space="preserve">כלומר החקיקה תדרוש מהחברה לתקן גם את נזקי העבר שלה. </t>
  </si>
  <si>
    <t>בהמשך לשאלה 2, הניחו כי הישות המזהמת פועלת רק במדינה ללא חקיקה בנושא דרישות הטיהור, אך החברה פרסמה</t>
  </si>
  <si>
    <r>
      <t xml:space="preserve">מכל אלו עולה שיש להכיר </t>
    </r>
    <r>
      <rPr>
        <b/>
        <sz val="12"/>
        <rFont val="David"/>
      </rPr>
      <t>בהפרשה</t>
    </r>
    <r>
      <rPr>
        <sz val="12"/>
        <rFont val="David"/>
      </rPr>
      <t>, וכמובן סכומה ישקף את העלויות הצפויות לטיהור ו/או הקנסות שבהן תישא החברה</t>
    </r>
  </si>
  <si>
    <t>הרצאה 11 - חשבונאות פיננסית ב - מבנה הבחינה, דיון מסכם ופרידה - 31/3/2024</t>
  </si>
  <si>
    <t>בקורס זה מטרתנו כפולה: ראשית, לעבות ולהעמיק את רמת הקושי / האתגר / ההבנה בנושאי מדידה ויישום תקנים</t>
  </si>
  <si>
    <t xml:space="preserve">לגבי נכסים שונים. </t>
  </si>
  <si>
    <t xml:space="preserve">שנית, לדון וליישם סוגיות מדידה והצגה של נכסים על בסיס תקנים נוספים, ולייצר את הקשר לתקנים שכבר נלמדו. </t>
  </si>
  <si>
    <r>
      <t xml:space="preserve">ג.2. צפי למכירה ברווח הוני </t>
    </r>
    <r>
      <rPr>
        <u/>
        <sz val="12"/>
        <color theme="1"/>
        <rFont val="David"/>
      </rPr>
      <t>בעתיד הרחוק</t>
    </r>
    <r>
      <rPr>
        <sz val="12"/>
        <color theme="1"/>
        <rFont val="David"/>
      </rPr>
      <t xml:space="preserve"> - כי נדל״ן להשקעה הוא נכס לא שוטף. </t>
    </r>
  </si>
  <si>
    <r>
      <t xml:space="preserve">ג. נדל״ן להשקעה: אם </t>
    </r>
    <r>
      <rPr>
        <b/>
        <sz val="12"/>
        <color theme="1"/>
        <rFont val="David"/>
      </rPr>
      <t>מטרת החזקתו</t>
    </r>
    <r>
      <rPr>
        <sz val="12"/>
        <color theme="1"/>
        <rFont val="David"/>
      </rPr>
      <t xml:space="preserve"> היא אך ורק אחת או יותר משתי המטרות הבאות -  </t>
    </r>
  </si>
  <si>
    <t>רכישת קרקע - רכוש קבוע, ועלויות נלוות</t>
  </si>
  <si>
    <t>ייחוס עלויות הקמה ומדידת הפריט</t>
  </si>
  <si>
    <t>ההקמה נמשכת - עלויות הקמה ב-2014</t>
  </si>
  <si>
    <t>חשוב לשים לב שעד כה, בהתאם להגדרת החברה, ועל פי הנתון, הפריט ועלויותיו מסווגות כרכוש קבוע, וזאת לאור העובדה</t>
  </si>
  <si>
    <t xml:space="preserve">שהחברה מייעדת אותו כנתון לשימוש ההנהלה (פריט נדל״ן שייעודו הוא שימוש עצמי - בחברה עצמה, לא להשכרה / מכירה ברווח,  </t>
  </si>
  <si>
    <t xml:space="preserve">מהווה רכוש קבוע ולא נדל״ן להשקעה). </t>
  </si>
  <si>
    <t>תקופת ההקמה: שנתיים (24 חודשים) &gt;&gt;&gt; 3,000,000</t>
  </si>
  <si>
    <t xml:space="preserve">עלות ההקמה לחודש: </t>
  </si>
  <si>
    <t xml:space="preserve">3,000,000 / 24 = </t>
  </si>
  <si>
    <t>מועד דיווח</t>
  </si>
  <si>
    <r>
      <rPr>
        <sz val="12"/>
        <color theme="0"/>
        <rFont val="David"/>
      </rPr>
      <t>,</t>
    </r>
    <r>
      <rPr>
        <sz val="12"/>
        <color theme="1"/>
        <rFont val="David"/>
      </rPr>
      <t>+ 125,000 * 3</t>
    </r>
  </si>
  <si>
    <r>
      <rPr>
        <sz val="12"/>
        <color theme="0"/>
        <rFont val="David"/>
      </rPr>
      <t>,</t>
    </r>
    <r>
      <rPr>
        <sz val="12"/>
        <color theme="1"/>
        <rFont val="David"/>
      </rPr>
      <t>=1,575,000</t>
    </r>
  </si>
  <si>
    <r>
      <rPr>
        <sz val="12"/>
        <color theme="0"/>
        <rFont val="David"/>
      </rPr>
      <t>,</t>
    </r>
    <r>
      <rPr>
        <sz val="12"/>
        <color theme="1"/>
        <rFont val="David"/>
      </rPr>
      <t>+ 125,000 * 12</t>
    </r>
  </si>
  <si>
    <r>
      <rPr>
        <sz val="12"/>
        <color theme="0"/>
        <rFont val="David"/>
      </rPr>
      <t>,</t>
    </r>
    <r>
      <rPr>
        <sz val="12"/>
        <color theme="1"/>
        <rFont val="David"/>
      </rPr>
      <t>=3,075,000</t>
    </r>
  </si>
  <si>
    <r>
      <rPr>
        <b/>
        <sz val="12"/>
        <color theme="0"/>
        <rFont val="David"/>
      </rPr>
      <t>,</t>
    </r>
    <r>
      <rPr>
        <b/>
        <sz val="12"/>
        <color theme="1"/>
        <rFont val="David"/>
      </rPr>
      <t>+ 125,000 * 9</t>
    </r>
  </si>
  <si>
    <r>
      <rPr>
        <b/>
        <sz val="12"/>
        <color theme="0"/>
        <rFont val="David"/>
      </rPr>
      <t>,</t>
    </r>
    <r>
      <rPr>
        <b/>
        <sz val="12"/>
        <color rgb="FFFF0000"/>
        <rFont val="David"/>
      </rPr>
      <t>=4,200,000</t>
    </r>
  </si>
  <si>
    <t xml:space="preserve">רכישה של הקרקע </t>
  </si>
  <si>
    <t>בתוספת עלויות תיווך</t>
  </si>
  <si>
    <t>בגין הקרקע</t>
  </si>
  <si>
    <t>בהיבט העלות - לקומה אחת מתוך 5 מקצים 1/5 מהעלות הכוללת</t>
  </si>
  <si>
    <t>בהיבט ההפחתה - מפחיתים את הפריט ללא הקרקע, כאשר עלות הקרקע</t>
  </si>
  <si>
    <t>כללה גם את דמי התיווך ששולמו בעדה</t>
  </si>
  <si>
    <t xml:space="preserve">(4,200,000 - 1,200,000) / 25 * 2/12 = </t>
  </si>
  <si>
    <t>כאשר: 30,000 פחת ב-2015, ו-20,000 פחת נוסף ב-2016 עד השינוי</t>
  </si>
  <si>
    <t>שווי למועד השינוי</t>
  </si>
  <si>
    <t>פחת שנוצר ב-2015, מ-30.9.2015 עד 31.12.2015</t>
  </si>
  <si>
    <t xml:space="preserve">96,000 + 4,000 = </t>
  </si>
  <si>
    <t>הרצאה 2 - חשבונאות פיננסית ב - 11/11/2024</t>
  </si>
  <si>
    <t>רקע ותזכורת:</t>
  </si>
  <si>
    <t>במפגש הקודם התחלנו לדון בנדל״ן להשקעה:</t>
  </si>
  <si>
    <t>נדל״ן (מבנה / קרקע)</t>
  </si>
  <si>
    <t>מוחזק לזמן ארוך:</t>
  </si>
  <si>
    <t>הנבת הכנסות שכירות</t>
  </si>
  <si>
    <t>הנבת רווח ממכירה הונית בחלוף פרק זמן ארוך</t>
  </si>
  <si>
    <t>אם</t>
  </si>
  <si>
    <t>משרת</t>
  </si>
  <si>
    <t>פעילות</t>
  </si>
  <si>
    <t xml:space="preserve">אחרת </t>
  </si>
  <si>
    <t>איננו נדל״ן</t>
  </si>
  <si>
    <t>להשקעה</t>
  </si>
  <si>
    <t>במהות: ״פאסיבי״ (בית מלון שאנו מתפעלים הוא לא נדל״ש)</t>
  </si>
  <si>
    <t>בנוסף אמרנו:</t>
  </si>
  <si>
    <t>מבנה שהיה רכוש קבוע (לא עמד בהגדרה)</t>
  </si>
  <si>
    <t>יכול בתנאים מסוימים לעבור להיות נדל״ן</t>
  </si>
  <si>
    <t>להשקעה באופן מלא או חלקי (בעת פינוי).</t>
  </si>
  <si>
    <t>וכעת: האם נדל״ן להשקעה יכול לשנות סיווגו למלאי?</t>
  </si>
  <si>
    <t xml:space="preserve">התשובה חיובית. בתנאים לכך נדון כעת. </t>
  </si>
  <si>
    <t>אם חברה איננה עוסקת במכירת נדל״ן בשוטף - אין מקום לדון במעבר מנדל״ן להשקעה למלאי ולהפך.</t>
  </si>
  <si>
    <t>כשפריט משנה סיווג מסוג נכס אחד לאחר, כמובן שנתעניין בתשובה לשאלה - מהו בסיס המדידה של הפריט</t>
  </si>
  <si>
    <t xml:space="preserve">לפני השינוי ואחרי השינוי. לכן אי אפשר לדון בסוגיית המעבר למלאי מבלי להזכיר כיצד מלאי נמדד. </t>
  </si>
  <si>
    <t>כאן היתה אזעקה וקצת איבדנו ריכוז... לאט לאט... בואו נחזור על הדברים:</t>
  </si>
  <si>
    <t xml:space="preserve">בשפה פשוטה - התקן IAS 40 דורש שבכדי לאפשר שינוי כזה - נדרש עיתוי שמלווה בפעולה אקטיבית מספקת.  </t>
  </si>
  <si>
    <r>
      <rPr>
        <b/>
        <sz val="12"/>
        <color theme="1"/>
        <rFont val="David"/>
      </rPr>
      <t>עיתוי</t>
    </r>
    <r>
      <rPr>
        <sz val="12"/>
        <color theme="1"/>
        <rFont val="David"/>
      </rPr>
      <t xml:space="preserve"> - במועד שבו מתחיל הפיתוח (הכשרה, שיפוצים וכו׳) מתוך כוונה לבצע את המכירה. </t>
    </r>
  </si>
  <si>
    <r>
      <rPr>
        <b/>
        <sz val="12"/>
        <color theme="1"/>
        <rFont val="David"/>
      </rPr>
      <t>עיתוי</t>
    </r>
    <r>
      <rPr>
        <sz val="12"/>
        <color theme="1"/>
        <rFont val="David"/>
      </rPr>
      <t xml:space="preserve"> - בעת התחלת חכירה (השכרה) לצד שלישי.</t>
    </r>
  </si>
  <si>
    <r>
      <t xml:space="preserve">כלומר, לפי </t>
    </r>
    <r>
      <rPr>
        <u/>
        <sz val="12"/>
        <color theme="1"/>
        <rFont val="David"/>
      </rPr>
      <t>הנמוך מבין עלות לבין שווי מימוש נטו.</t>
    </r>
  </si>
  <si>
    <t>בקצרה: כשם שרכוש קבוע במקרים רבים מופרד לחלקים לצורך הפחתתו</t>
  </si>
  <si>
    <t xml:space="preserve">כך לגבי נדל״ן תבוצע הפרדה לחלקים לטובת שיוך נאות במסגרת מעברים </t>
  </si>
  <si>
    <t xml:space="preserve">600,000 - 600,000 / 25 </t>
  </si>
  <si>
    <t>או:</t>
  </si>
  <si>
    <t>על קרקע אין פחת</t>
  </si>
  <si>
    <t xml:space="preserve">100,000 - 100,000 / 10 </t>
  </si>
  <si>
    <t>הוצאות פחת בגין רכיב מבנה</t>
  </si>
  <si>
    <t>הוצאות פחת בגין רכיב מעליות</t>
  </si>
  <si>
    <t>סך הוצאות פחת בגין רכיבי המבנה</t>
  </si>
  <si>
    <t>סך הוצאות הפחת בגין ריהוט (נפרד)</t>
  </si>
  <si>
    <t xml:space="preserve">600,000 / 25 = </t>
  </si>
  <si>
    <t xml:space="preserve">100,000 / 10 = </t>
  </si>
  <si>
    <t xml:space="preserve">150,000 / 8 = </t>
  </si>
  <si>
    <t>הצגה מרוכזת - ערכי המבנה בלבד:</t>
  </si>
  <si>
    <t>מבנה - עלות (כלל רכיביו)</t>
  </si>
  <si>
    <t>מבנה - פחת נצבר</t>
  </si>
  <si>
    <t>הוצאות הפחת (מבנה)</t>
  </si>
  <si>
    <t xml:space="preserve">בגין מבנה - </t>
  </si>
  <si>
    <t>ללא מעליות וקרקע</t>
  </si>
  <si>
    <t>מעליות בלבד</t>
  </si>
  <si>
    <t>סה״כ פחת מבנה</t>
  </si>
  <si>
    <t>בגין ריהוט</t>
  </si>
  <si>
    <t>למרות שאין צורך לדווח ב-1/1/2009 בהיבט עריכת דוחות כספיים, נציג להלן כחישוב ביניים שיקל על מעקב את הרכיבים ומשמעותם:</t>
  </si>
  <si>
    <t>הצגה מרוכזת - ערכי המבנה שהוא רכוש קבוע:</t>
  </si>
  <si>
    <t>לפני שינוי</t>
  </si>
  <si>
    <t>אחרי שינוי</t>
  </si>
  <si>
    <t>הצגה מרוכזת - נדל״ן להשקעה</t>
  </si>
  <si>
    <t>רווח כולל אחר = השינוי בקרן הערכה מחדש</t>
  </si>
  <si>
    <t>יתרת קרן הערכה מחדש = בהון העצמי</t>
  </si>
  <si>
    <r>
      <t>600,000*22/25*</t>
    </r>
    <r>
      <rPr>
        <b/>
        <sz val="12"/>
        <color theme="1"/>
        <rFont val="David"/>
      </rPr>
      <t>50%</t>
    </r>
    <r>
      <rPr>
        <sz val="12"/>
        <color theme="1"/>
        <rFont val="David"/>
      </rPr>
      <t xml:space="preserve"> = </t>
    </r>
  </si>
  <si>
    <r>
      <t xml:space="preserve">300,000 * </t>
    </r>
    <r>
      <rPr>
        <b/>
        <sz val="12"/>
        <color theme="1"/>
        <rFont val="David"/>
      </rPr>
      <t>50%</t>
    </r>
    <r>
      <rPr>
        <sz val="12"/>
        <color theme="1"/>
        <rFont val="David"/>
      </rPr>
      <t xml:space="preserve"> = </t>
    </r>
  </si>
  <si>
    <r>
      <t>100,000*7/10*</t>
    </r>
    <r>
      <rPr>
        <b/>
        <sz val="12"/>
        <color theme="1"/>
        <rFont val="David"/>
      </rPr>
      <t>50%</t>
    </r>
    <r>
      <rPr>
        <sz val="12"/>
        <color theme="1"/>
        <rFont val="David"/>
      </rPr>
      <t xml:space="preserve"> = </t>
    </r>
  </si>
  <si>
    <t>מועד מעבר</t>
  </si>
  <si>
    <t>אופן הטיפול במעבר</t>
  </si>
  <si>
    <t>התנאים הנדרשים למעבר</t>
  </si>
  <si>
    <t>רכוש קבוע (מודל עלות) -&gt; נדל"ן להשקעה (מודל שווי הוגן)</t>
  </si>
  <si>
    <t>רכוש קבוע (מודל הערכה מחדש) -&gt; נדל"ן להשקעה (מודל שווי הוגן)</t>
  </si>
  <si>
    <t>רכוש קבוע (מודל עלות) -&gt; נדל"ן להשקעה (מודל עלות)</t>
  </si>
  <si>
    <t>רכוש קבוע (מודל הערכה מחדש) -&gt; נדל"ן להשקעה (מודל עלות)</t>
  </si>
  <si>
    <t>מלאי -&gt; נדל"ן להשקעה (מודל שווי הוגן)</t>
  </si>
  <si>
    <t>מלאי -&gt; נדל"ן להשקעה (מודל עלות)</t>
  </si>
  <si>
    <t>הרצאה 3 - חשבונאות פיננסית ב - 18/11/2024 - סיכום נדל״ש והתחלת תיאוריה בנב״מ</t>
  </si>
  <si>
    <t>הדיון בנדל״ן להשקעה כנכס בפני עצמו פשוט יחסית. בסיסי המדידה ברורים (עלות / שווי הוגן) ואופן המדידה דומה לרכוש קבוע (עלות)</t>
  </si>
  <si>
    <t>או קליל על פי הנתונים (שווי הוגן). הקושי / האתגר העיקרי (בעולם ללא מסים וללא אחזקות) הוא - אופן הטיפול בשינוי ייעוד</t>
  </si>
  <si>
    <t xml:space="preserve">מרכוש קבוע לנדל״ן חזרה לרכוש קבוע למלאי וכיו״ב. </t>
  </si>
  <si>
    <t xml:space="preserve">לפיכך בתור התחלה, נייצר סוג של סיכום לסוגי המעברים הכשירים (מעברים שמאושרים לפי IAS 40 לשינוי סיווג פריטי נדל״ן). </t>
  </si>
  <si>
    <t xml:space="preserve">המלצה: לשים את הטבלה מול העיניים במקרים של דיון בשאלות עם מעברים. </t>
  </si>
  <si>
    <t xml:space="preserve">לשכלל / לשפר את הטבלה כפי ראות עיניכם בהתאם למה שאתם מוצאים לנכון. </t>
  </si>
  <si>
    <r>
      <t xml:space="preserve">שינוי שימוש: </t>
    </r>
    <r>
      <rPr>
        <u/>
        <sz val="12"/>
        <rFont val="David"/>
      </rPr>
      <t>סיום פעילות עסקית</t>
    </r>
    <r>
      <rPr>
        <sz val="12"/>
        <rFont val="David"/>
      </rPr>
      <t xml:space="preserve"> וייעוד השכרה/החזקה להשקעה.</t>
    </r>
  </si>
  <si>
    <t>מועד התחלת החכירה התפעולית לצד ג</t>
  </si>
  <si>
    <t>תחילת שימוש על ידי הבעלים או פעולה פיזית להכנה לשימוש כזה</t>
  </si>
  <si>
    <t>נדל"ן להשקעה (שווי הוגן) -&gt; רכוש קבוע (מודל עלות)</t>
  </si>
  <si>
    <t>נדל"ן להשקעה (שווי הוגן) -&gt; רכוש קבוע (מודל הערכה מחדש)</t>
  </si>
  <si>
    <t>נדל"ן להשקעה (עלות) -&gt; רכוש קבוע (מודל עלות)</t>
  </si>
  <si>
    <t>נדל"ן להשקעה (עלות) -&gt; רכוש קבוע (מודל הערכה מחדש)</t>
  </si>
  <si>
    <t>נדל"ן להשקעה (עלות) -&gt; מלאי</t>
  </si>
  <si>
    <t>נדל"ן להשקעה (שווי הוגן) -&gt; מלאי</t>
  </si>
  <si>
    <t>התחלת פיתוח לשם מכירה (ברמה הפיזית) שיש בה בכדי להעיד על המכירה</t>
  </si>
  <si>
    <t>סוג מעבר (סעיף 57)</t>
  </si>
  <si>
    <t>כמו הערכה מחדש ב-IAS 16 (סעיף 61). זו תהיה ״העלות״ של הנדל״ש לטובת ההמשך.</t>
  </si>
  <si>
    <t>הפרשים בין ערך הספרים של המלאי (הנמוך מבין עלות לשמ״נ) לשווי ההוגן - רוו״ה (סעיף 63)</t>
  </si>
  <si>
    <t>ערך הספרים הקיים של הרכוש הקבוע הופך לעלות הבסיסית בנדל"ן להשקעה.</t>
  </si>
  <si>
    <t>מדידת הנדל״ש בשווי הוגן כנגד רוו״ה ערב המעבר &gt;&gt;&gt; יהווה את ״עלות״ הר״ק</t>
  </si>
  <si>
    <t>ערך הספרים הקיים של הנדל״ש הופך לעלות הבסייסת של הר״ק</t>
  </si>
  <si>
    <t>הנדל״ן נמדד בשווי הוגן, ערך זה יהווה את עלות המלאי</t>
  </si>
  <si>
    <t>הנדל״ן נמדד לפי עלות בניכוי פחת נצבר והפרשות לירידת ערך, ערך זה יהווה את עלות המלאי</t>
  </si>
  <si>
    <t>תרגילון קטן לטיפול כיתתי - בדבר מוניטין ומשמעותו</t>
  </si>
  <si>
    <t xml:space="preserve">חברת ״חן״ בע״מ רכשה 100% מהון המניות של חברת ״עידו״ בע״מ. </t>
  </si>
  <si>
    <t>תמורת הרכישה, שילמה ״חן״ סכום של 700 מיליון ש״ח.</t>
  </si>
  <si>
    <t>להלן נתונים בדבר הדוח על המצב הכספי של חברת ״עידו״ במועד הרכישה:</t>
  </si>
  <si>
    <t>חברת עידו - הדוח על המצב הכספי ערב הרכישה</t>
  </si>
  <si>
    <t>התחייבויות והון עצמי</t>
  </si>
  <si>
    <t>הלוואות</t>
  </si>
  <si>
    <t>הון מניות</t>
  </si>
  <si>
    <t>עודפים</t>
  </si>
  <si>
    <t>עידו מודדת את המלאי לפי הנמוך מבין עלות</t>
  </si>
  <si>
    <t>לבין שווי מימוש נטו. שווי המלאי ערב הרכישה</t>
  </si>
  <si>
    <t>הוא 240 מיליון ש״ח.</t>
  </si>
  <si>
    <t>עידו מודדת את פריטי הרכוש הקבוע לפי מודל</t>
  </si>
  <si>
    <t>העלות. שווי הרכוש הקבוע ערב הרכישה הוא 530</t>
  </si>
  <si>
    <t>מיליון ש״ח.</t>
  </si>
  <si>
    <t>פרט לאמור לעיל, אין הפרשים נוספים בין ערכי</t>
  </si>
  <si>
    <t>הספרים של הנכסים וההתחייבויות בעידו</t>
  </si>
  <si>
    <t xml:space="preserve">לבין שוויים ההוגן. </t>
  </si>
  <si>
    <t>נדרש: מהו סכום המוניטין שיוכר בעקבות העסקה?</t>
  </si>
  <si>
    <t>תשלום בעד הרכישה</t>
  </si>
  <si>
    <t>הון עצמי של הנרכשת</t>
  </si>
  <si>
    <t xml:space="preserve">200 + 300 = </t>
  </si>
  <si>
    <t>עודף עלות</t>
  </si>
  <si>
    <t xml:space="preserve">700 - 500 = </t>
  </si>
  <si>
    <t>נקצה את עודף העלות לרכיביו (״על מה שילמתי את הסכום הנוסף״) - PPA</t>
  </si>
  <si>
    <t>עודף עלות בגין מלאי</t>
  </si>
  <si>
    <t>המלאי, כנתון - שווה 40 יותר ביחס לערך הספרים שלו 240-200</t>
  </si>
  <si>
    <t>עודף עלות רכוש קבוע</t>
  </si>
  <si>
    <t>שווי הרכוש הקבוע 530, ערך הספרים שלו 500</t>
  </si>
  <si>
    <t>מוניטין PN</t>
  </si>
  <si>
    <t>סך עודף העלות</t>
  </si>
  <si>
    <t>חושב לעיל</t>
  </si>
  <si>
    <t>מוניטין זה נובע אם כך מערך שהחברה מעריכה שקיים - אך איננו ניתן לשיוך לנכסים / התחייבויות מזוהים וספציפיים בנרכשת.</t>
  </si>
  <si>
    <t xml:space="preserve">התקן IAS 38 איננו מגדיר מוניטין כנב״מ החוסה בתחולת התקן. </t>
  </si>
  <si>
    <t>אנליסטים צופים כי כתוצאה מהמהלך הנועז של ורד, מוניטין החברה והשם הטוב שלה השתפרו</t>
  </si>
  <si>
    <t>את המפגש ה-3 עצרנו כאן ב-2025א</t>
  </si>
  <si>
    <t>הרצאה 4 - חשבונאות פיננסית ב - 2/12/2024 - המשך תיאוריה בנב״מ</t>
  </si>
  <si>
    <t>רענון:</t>
  </si>
  <si>
    <t xml:space="preserve">נכסים בלתי מוחשיים המטופלים במסגרת IAS 38 הם נכסים לא כספיים, ניתנים לזיהוי (לא מוניטין), חסרי מהות פיזית. </t>
  </si>
  <si>
    <t>במקרים רבים - קיים קושי בהכרה בנכסים אלו, והמבחנים הראשוניים בהם יש לעמוד - הם מבחני הזיהוי והשליטה.</t>
  </si>
  <si>
    <t>על מבחן הזיהוי דיברנו - היכולת למכור / להפריד את הנכס ו/או להזהות את הסיבה המשפטית / החוזית בעטייה נוצר.</t>
  </si>
  <si>
    <t xml:space="preserve">למשל: רו״ח אביב רופל (מנע״מ ייעוץ עסקי בע״מ) רכש זכיון למסעדת ״רובן״ בעפולה. </t>
  </si>
  <si>
    <t xml:space="preserve">בעת רכישת הזכיון - ניתן לזהות ולהגדיר היטב את התנאים המאפיינים את העסקה (לרבות את עלותה). </t>
  </si>
  <si>
    <t xml:space="preserve">לכן מבחן הזיהוי מתקיים בהקשר לנכס הזכיון בחברת מנע״מ. </t>
  </si>
  <si>
    <t>פרט למבחן הזיהוי קיים מבחן נוסף - מבחן השליטה - האם הישות עצמה (החברה) מסוגלת להגדיר מי יהנה מהטבותיה, ובאפשרותה</t>
  </si>
  <si>
    <t>להגביל את הגישה להטבות על ידי גורמים אחרים.</t>
  </si>
  <si>
    <t>דוגמת מנע״מ ייעוץ עסקי: כשהיא רכשה את הזכיון - היא היחידה שיכולה להפעיל אותו בעפולה. גורמים אחרים לא יכולים לפתוח</t>
  </si>
  <si>
    <t>מסעדה דומה בסמוך.</t>
  </si>
  <si>
    <t xml:space="preserve">למשל: רו״ח רופל (מנע״מ ייעוץ עסקי) מתבל את קציצות ההמבורגר שלו בתערובת תבלינים ייחודית. </t>
  </si>
  <si>
    <t>האם היכולת הזו מקיימת את מבחן השליטה שחיוני להכרה בנב״מ? התשובה שלילית.</t>
  </si>
  <si>
    <t xml:space="preserve">מדוע? משום שמנע״מ ייעוץ עסקי איננה יכולה לאכוף על מסעדות אחרות להמנע משימוש בתבלינים אלו. </t>
  </si>
  <si>
    <t>אז מה עכשיו?</t>
  </si>
  <si>
    <t xml:space="preserve">סאלח בע״מ צילמה סרט באורך 90 דקות שנקרא ״יום בחייו של ד״ר צבאן״. </t>
  </si>
  <si>
    <t>שאלה קצרה לוידוא הבנה בקטנה - שוק פעיל או היעדרו:</t>
  </si>
  <si>
    <t>תיאור</t>
  </si>
  <si>
    <t>שוק פעיל</t>
  </si>
  <si>
    <t>רישיון (מספר) למונית שמבוצע בו מסחר בהיקפים גדולים בפלטפורמה מסוימת</t>
  </si>
  <si>
    <t xml:space="preserve">רישיון למונית שאיננו ניתן למסחר </t>
  </si>
  <si>
    <t>מותגים שנסחרים בהיקפים גבוהים בפלטפורמה מסודרת</t>
  </si>
  <si>
    <t>פטנטים שניתן לקנות ולמכור בהיקפים גבוהים, אך המסחר בהם בפועל מצומצם</t>
  </si>
  <si>
    <t>פטנטים שניתן לקנות ולמכור בהיקפים גבוהים והמסחר בהם גבוה</t>
  </si>
  <si>
    <t>פטנטים שאינם ניתנים למכירה</t>
  </si>
  <si>
    <t>רישיון למונית במדינה מסוימת שניתן לסחור בו בהיקפים גבוהים במדינה אחרת בלבד</t>
  </si>
  <si>
    <t>X</t>
  </si>
  <si>
    <t>היקף גבוה של מסחר, נכס סטנדרטי</t>
  </si>
  <si>
    <t>הכוונה: אני יכול למכור אותו בחו״ל, אבל הוא תקף רק לארץ</t>
  </si>
  <si>
    <t>אין היקף מסחר גבוה</t>
  </si>
  <si>
    <t>למרות ההיקף הגבוה, נכס ״לא סטנדרטי״ מותגים הם שונים זה מזה</t>
  </si>
  <si>
    <t>גם היקף מסחר מצומצם, וגם מותג כנכס לא סטנדרטי</t>
  </si>
  <si>
    <t>אין מסחר ובנוסף הנכס לא סטנדרטי</t>
  </si>
  <si>
    <t>המרצה ד״ר צבאן קיבל רישיון לשווק את מוצרי Apple לתקופה של שנה. שי מאמין שלא תהיה לו כל בעיה</t>
  </si>
  <si>
    <t>עד כאן</t>
  </si>
  <si>
    <t>ל-10 שנים, חלפה שנה וחצי 1.7.2012-31.12.2013</t>
  </si>
  <si>
    <t>מנהל הכספים של החברה טוען כי בהיעדר סממנים העשויים להעיד על ירידה בערך הנכס במובן זה שהחברה מוכרת פופקורן בטירוף, אין צורך לבצע חישוב סכום</t>
  </si>
  <si>
    <t>משך חיים כולל: 10 שנים, חלפו 3.5 שנים 1.7.2012-31.12.2015</t>
  </si>
  <si>
    <t>בכל שנה, הנכס צפוי להניב 12 תזרימים חודשיים (בסך 2,400 כל אחד)</t>
  </si>
  <si>
    <t>על מנת לחשב את שווי המימוש נטו אשר מייצג</t>
  </si>
  <si>
    <t>את הערך הנוכחי של תזרימי ה-2,400 ש״ח לחודש</t>
  </si>
  <si>
    <t xml:space="preserve">במשך 6.5 השנים שנותרו לנכס (78 תשלומים חודשיים), </t>
  </si>
  <si>
    <t xml:space="preserve">עלינו להוון (לחשב PV) לתזרימים אלו, וזאת בהתאם </t>
  </si>
  <si>
    <t xml:space="preserve">למחיר ההון הנתון בשאלה - 1% לחודש. </t>
  </si>
  <si>
    <t xml:space="preserve">12,500 * 6.5/7.5 = </t>
  </si>
  <si>
    <t>א. מדידת נב״מ במועד ההכרה - לפי עלות. במונחי מזומן (גם אם רכשתי בתשלום נדחה).</t>
  </si>
  <si>
    <r>
      <t xml:space="preserve">ב. ניתן למדוד פריט נב״מ בהערכה מחדש, אך ורק </t>
    </r>
    <r>
      <rPr>
        <b/>
        <sz val="12"/>
        <color theme="1"/>
        <rFont val="David"/>
      </rPr>
      <t>וכל עוד</t>
    </r>
    <r>
      <rPr>
        <sz val="12"/>
        <color theme="1"/>
        <rFont val="David"/>
      </rPr>
      <t xml:space="preserve"> התקיים שוק פעיל. </t>
    </r>
  </si>
  <si>
    <t>הרצאה 5 - חלק ב - חשבונאות פיננסית ב - 9.12.2024 - המשך נב״מ</t>
  </si>
  <si>
    <t>הפחנ״צ</t>
  </si>
  <si>
    <t>הוצ׳ הפחתה</t>
  </si>
  <si>
    <t>יתרת קרן</t>
  </si>
  <si>
    <t>טרם שערוך</t>
  </si>
  <si>
    <t>לדיווח</t>
  </si>
  <si>
    <t>מיון קרן לעודפים</t>
  </si>
  <si>
    <t>אחרי שערוך</t>
  </si>
  <si>
    <t>וסב״ה י״ע</t>
  </si>
  <si>
    <t>טרם בדיקת</t>
  </si>
  <si>
    <t>אחרי בדיקת</t>
  </si>
  <si>
    <t>סב״ה עדכני</t>
  </si>
  <si>
    <t>א. הציגו יתרות מאזניות ותוצאתיות רלוונטיות בהתעלם ממסים.</t>
  </si>
  <si>
    <t>ב. בהנחה ששיעור המס 30% בהווה ובעתיד, הציגו יתרות בחשבון זיכיון, קרן שערוך ומס נדחה, הוצאות הפחתה, והשפעת מס נדחה על הוצאות מס.</t>
  </si>
  <si>
    <t xml:space="preserve">ה. רשות המסים פועלת לפי מודל העלות כהגדרתו ב- IAS 38. </t>
  </si>
  <si>
    <t>בנוסף, בכפוף להנחת קיום המס, הציגו פקודות יומן מלאות למתן ביטוי לכל העסקאות והאירועים.</t>
  </si>
  <si>
    <t>פתרון סעיף א - יתרות מלאות בהתעלם ממס</t>
  </si>
  <si>
    <t>אם מדובר בנכס שאורך חייו בלתי מוגדר, תהליך מדידתו דורש:</t>
  </si>
  <si>
    <t xml:space="preserve">מדידתו לפי המודל הרלוונטי בו בחרה החברה (עלות או הערכה מחדש המותנית בקיום שוק פעיל). </t>
  </si>
  <si>
    <t>בדיקת סב״ה - הואיל ואורך חיים בלתי מוגדר דורש חישובו ובדיקתו בכל מקרה.</t>
  </si>
  <si>
    <t xml:space="preserve">הטיפול בשערוך מאד דומה לטיפול במודל הערכה מחדש ברכוש קבוע, כולל המדידה בתקופות העוקבות (הפחתת קרן, הפחתת הפרשה). </t>
  </si>
  <si>
    <t>אם החברה מחליטה שאורך החיים הופך למוגדר (אי חידוש):</t>
  </si>
  <si>
    <t>מנקודה זו ואילך מחשבים הפחתה.</t>
  </si>
  <si>
    <t xml:space="preserve">אין צורך לחשב סב״ה אלא אם יש סממנים לי״ע. </t>
  </si>
  <si>
    <t xml:space="preserve">אם השוק חדל מלהיות פעיל - </t>
  </si>
  <si>
    <t>לא מבצעים יותר שערוכים. עצם החדלון מייצר סממן לי״ע. בודקים סב״ה.</t>
  </si>
  <si>
    <t>מאותה נקודה ואילך מיישמים את מודל העלות - בהתאם לערך המשוערך האחרון.</t>
  </si>
  <si>
    <r>
      <rPr>
        <sz val="12"/>
        <color theme="0"/>
        <rFont val="David"/>
      </rPr>
      <t>,</t>
    </r>
    <r>
      <rPr>
        <sz val="12"/>
        <color theme="1"/>
        <rFont val="David"/>
      </rPr>
      <t>(1)</t>
    </r>
  </si>
  <si>
    <r>
      <rPr>
        <sz val="12"/>
        <color theme="0"/>
        <rFont val="David"/>
      </rPr>
      <t>,</t>
    </r>
    <r>
      <rPr>
        <sz val="12"/>
        <color theme="1"/>
        <rFont val="David"/>
      </rPr>
      <t>(2)</t>
    </r>
  </si>
  <si>
    <r>
      <rPr>
        <sz val="12"/>
        <color theme="0"/>
        <rFont val="David"/>
      </rPr>
      <t>,</t>
    </r>
    <r>
      <rPr>
        <sz val="12"/>
        <color theme="1"/>
        <rFont val="David"/>
      </rPr>
      <t>(4)</t>
    </r>
  </si>
  <si>
    <r>
      <rPr>
        <sz val="12"/>
        <color theme="0"/>
        <rFont val="David"/>
      </rPr>
      <t>,</t>
    </r>
    <r>
      <rPr>
        <sz val="12"/>
        <color theme="1"/>
        <rFont val="David"/>
      </rPr>
      <t>(3)</t>
    </r>
  </si>
  <si>
    <t>עד כאן מפגש 5 - 9.12.2024 - היתר במפגש הבא.</t>
  </si>
  <si>
    <t>תמצית תהליכי עבודה (פירוט נוסף בגינם קיים למטה - בהתייחסות גם למימד המס):</t>
  </si>
  <si>
    <t>במהלך אחד</t>
  </si>
  <si>
    <t>יתרת הקרן נטו</t>
  </si>
  <si>
    <t>היא הברוטו בניכוי מס</t>
  </si>
  <si>
    <t>10,500 / (1 - 30%) = 90,000 / 6 =</t>
  </si>
  <si>
    <r>
      <t xml:space="preserve">כנגד קרן הון </t>
    </r>
    <r>
      <rPr>
        <b/>
        <sz val="12"/>
        <color theme="1"/>
        <rFont val="David"/>
      </rPr>
      <t>ברוטו</t>
    </r>
  </si>
  <si>
    <r>
      <t xml:space="preserve">ה״ז </t>
    </r>
    <r>
      <rPr>
        <b/>
        <sz val="10"/>
        <color theme="1"/>
        <rFont val="David"/>
      </rPr>
      <t>ניתן לניכוי</t>
    </r>
  </si>
  <si>
    <t xml:space="preserve">90,000 * 30% = </t>
  </si>
  <si>
    <t>והכל היה במקור כנגד הקרן</t>
  </si>
  <si>
    <t xml:space="preserve">27,000 / 6 = 90,000 / 6 * 30% =  </t>
  </si>
  <si>
    <t xml:space="preserve">(90,000 - 90,000/6) * 30% = </t>
  </si>
  <si>
    <t>יתרת קרן לתחילת השנה (ברוטו, לפני מס)</t>
  </si>
  <si>
    <t>בניכוי הפחתה על שנה נוספת מתוך 6</t>
  </si>
  <si>
    <t>רכיב המס בגין הקרן (מבוטל במלואו, כי הקרן אופסה ולכן גם המס בגינה)</t>
  </si>
  <si>
    <t xml:space="preserve">90,000 / 6 * 30% = (450,000 / 6 - 360,000 / 6) * 30% = </t>
  </si>
  <si>
    <t>הפחתה חשבונאית ברוו״ה</t>
  </si>
  <si>
    <t>הפחתה לצורך מס</t>
  </si>
  <si>
    <t>שנת 2009 - כנתון זוהי שנה שבה הנכס לא נסחר בשוק פעיל לכן אין מצב לבצע שערוך</t>
  </si>
  <si>
    <t>תמורת המכירה ברוטו</t>
  </si>
  <si>
    <t>שיעור מס רווח הון</t>
  </si>
  <si>
    <t>ובהיעדרו: שיעור המס הכללי</t>
  </si>
  <si>
    <t>מס חברות</t>
  </si>
  <si>
    <t>רווח הון / הפסד הון: ההפרש שבין תמורת המכירה לעלות המופחתת ערב המכירה</t>
  </si>
  <si>
    <t>תמורת המכירה</t>
  </si>
  <si>
    <t>עלות היסטורית</t>
  </si>
  <si>
    <t>הבסיס לעלות</t>
  </si>
  <si>
    <t>מופחתת</t>
  </si>
  <si>
    <t>הפחת שהצטבר במשך השנתיים</t>
  </si>
  <si>
    <t>מהרכישה עד המכירה</t>
  </si>
  <si>
    <t>מתואם שנתיים לאחור כי בסעיף זה</t>
  </si>
  <si>
    <t>המכירה צפויה בתום השנתיים</t>
  </si>
  <si>
    <t>הרצאה 7 - חשבונאות פיננסית ב - 23.12.2024 - המשך נב״מ</t>
  </si>
  <si>
    <t>עלות רכישת זיכיון ההפצה היא 500,000 ש״ח. רכישה 1.1.2018, תשלום 31.12.2019, מחיר הון 5%.</t>
  </si>
  <si>
    <t>ל-10 שנים עם עלות חידוש לא מהותית וצפי חידוש ללא הגבלה.</t>
  </si>
  <si>
    <t>הערכה מחדש, הפחתת קרן ואיפוס פחנ״צ בשערוכים.</t>
  </si>
  <si>
    <t xml:space="preserve">ב-31.12.2020 יום אחרון להסחרות בשוק פעיל (מ-1.1.2021 אין שוק פעיל). </t>
  </si>
  <si>
    <t>ב-1.1.2020 החליטה ההנהלה להפסיק לחדש זכיון.</t>
  </si>
  <si>
    <t xml:space="preserve">ב-2021, שיפור בביקושים. ב-2022 חזר שוק פעיל. </t>
  </si>
  <si>
    <t>מס 23%, רשות המסים מודדת לפי מודל העלות.</t>
  </si>
  <si>
    <t>יתרת קרן הערכה מחדש</t>
  </si>
  <si>
    <t>הת׳ מס נדחה</t>
  </si>
  <si>
    <t>הוצ׳ מס נדחה</t>
  </si>
  <si>
    <t>עזר</t>
  </si>
  <si>
    <t>התחייבות (זכאים)</t>
  </si>
  <si>
    <t>לפני שערוך</t>
  </si>
  <si>
    <t>הוצאות מימון</t>
  </si>
  <si>
    <t>שינוי בקרן הערכה מחדש - רווח כולל אחר</t>
  </si>
  <si>
    <t>נכס (התחייבות) מס נדחה</t>
  </si>
  <si>
    <t>ה״ז חייב במס (ניתן לניכוי)</t>
  </si>
  <si>
    <t>ניתוח קרן בשנים קשות</t>
  </si>
  <si>
    <t>י״פ קרן נטו (אחרי מס)</t>
  </si>
  <si>
    <t>תקנון לברוטו (חלוקה ב-1-23%)</t>
  </si>
  <si>
    <t>נפחית קרן ברוטו לפי יתרת חיים</t>
  </si>
  <si>
    <t>סיכום ביניים - קרן ברוטו לפני שערוך</t>
  </si>
  <si>
    <t>ירידת ערך כלכלית</t>
  </si>
  <si>
    <t>הפסד מירידת הערך</t>
  </si>
  <si>
    <t>ניתוח תנועה במס נדחה בשנים קשות</t>
  </si>
  <si>
    <t>י״פ נכס (התחייבות)</t>
  </si>
  <si>
    <t xml:space="preserve">146,485/8 * 23%= </t>
  </si>
  <si>
    <t>ההשפעה של איפוס קרן הון</t>
  </si>
  <si>
    <t xml:space="preserve">146,485 * 7/8 * 23% = </t>
  </si>
  <si>
    <t>י״ס נכס (התחייבות)</t>
  </si>
  <si>
    <t>הטיפול</t>
  </si>
  <si>
    <t>בעולם</t>
  </si>
  <si>
    <t>עם מסים</t>
  </si>
  <si>
    <t>מורכב</t>
  </si>
  <si>
    <t>ראו מטה</t>
  </si>
  <si>
    <t>לפני י״ע</t>
  </si>
  <si>
    <r>
      <t xml:space="preserve">ההשפעה של הפרשי פחת - </t>
    </r>
    <r>
      <rPr>
        <b/>
        <sz val="12"/>
        <color theme="1"/>
        <rFont val="David"/>
      </rPr>
      <t>הכנסות מס נדחה</t>
    </r>
  </si>
  <si>
    <r>
      <t xml:space="preserve">ההשפעה של הפסד מי״ע - </t>
    </r>
    <r>
      <rPr>
        <b/>
        <sz val="12"/>
        <color theme="1"/>
        <rFont val="David"/>
      </rPr>
      <t>הכנסות מס נדחה</t>
    </r>
  </si>
  <si>
    <t>מספר מושגים חשובים אשר עלו מסקירת IAS 37:</t>
  </si>
  <si>
    <t>ההקשר החשבונאי:</t>
  </si>
  <si>
    <t>כאשר חברה נוקטת בנוהג של חלוקת בונוס לעובדים;</t>
  </si>
  <si>
    <t>או מעניקה ״אחריות של רצון טוב״ (נניח שהאחריות</t>
  </si>
  <si>
    <t>על רכב ל-3 שנים, ואחרי 3 שנים וחודש הלך לי</t>
  </si>
  <si>
    <t>ראש מנוע - היבואן במקרים רבים יסכים לשפות)</t>
  </si>
  <si>
    <t>אם קיימת הסתמכות של גורמים חיצוניים כגון עובדים</t>
  </si>
  <si>
    <t>ו/או לקוחות על המשך קיום הנוהג הנ״ל בחברה,</t>
  </si>
  <si>
    <t>באופן שבו המנעות או הפסקת הנוהג עלולה</t>
  </si>
  <si>
    <t>להוביל לנזק תדמיתי / מתמשך לחברה,</t>
  </si>
  <si>
    <t>אנו נטען שקיימת לחברה מחויבות משתמעת</t>
  </si>
  <si>
    <t>להמשיך לעמוד בנוהג. לא ניתן לתבוע אותה על זה,</t>
  </si>
  <si>
    <t xml:space="preserve">אך לאור ההסתמכות של גורמים חיצוניים - </t>
  </si>
  <si>
    <t>הרי שיכול להיווצר לה נזק מהותי במידה ולא</t>
  </si>
  <si>
    <t>תפעל לעמוד בהתחייבות.</t>
  </si>
  <si>
    <t>מחויבות משתמעת אל מול מחויבות משפטית:</t>
  </si>
  <si>
    <t>ההבדל בין התחייבות תלויה והפרשה:</t>
  </si>
  <si>
    <t>נקשר לחשבונאות ונחדד מושגים:</t>
  </si>
  <si>
    <t>הפרשה: מכירים בהתחייבות למרות שהיא תלויה בתנאי מסוים,</t>
  </si>
  <si>
    <t xml:space="preserve">וזאת משום שצפוי שהתנאי יתממש, צפוי שנצטרך לשלם, </t>
  </si>
  <si>
    <t xml:space="preserve">ויודעים להעריך את הסכום. </t>
  </si>
  <si>
    <t>הפרשה תוכר כהתחייבות בדוח על המצב הכספי עם תיאור</t>
  </si>
  <si>
    <t xml:space="preserve">מתאים, למשל ״הפרשה לתביעה״. </t>
  </si>
  <si>
    <t>התחייבות תלויה: כל התחייבות שתלויה בתנאי מסוים,</t>
  </si>
  <si>
    <t>אשר איננה עומדת בתנאים להפרשה (לא צפוי בהסתברות</t>
  </si>
  <si>
    <t xml:space="preserve">גבוהה שהתנאי יתממש ; לא צפוי שנצטרך לשלם; </t>
  </si>
  <si>
    <t xml:space="preserve">לא ניתן להעריך את הסכום באופן מהימן). </t>
  </si>
  <si>
    <t>התחייבות שכזו לא מוצגת בדוח על המצב הכספי.</t>
  </si>
  <si>
    <t xml:space="preserve">א. קל מדי. </t>
  </si>
  <si>
    <t>ב. שגוי, אבל באמת מבלבל: המושג ״אירוע עתידי״ לא מתייחס</t>
  </si>
  <si>
    <t>לתנאי עצמו, אלא לאירוע שיוצר את המחויבות.</t>
  </si>
  <si>
    <t xml:space="preserve">לכן, הפרשה לא תיווצר, למשל, אם אני ״מתכנן״ לזהם </t>
  </si>
  <si>
    <t xml:space="preserve">הסביבה (מועד האירוע), אלא אם כבר ״זיהמתי״. </t>
  </si>
  <si>
    <t xml:space="preserve">התשובה: ב. </t>
  </si>
  <si>
    <t>אסעד הוסיף - למרות שאין מחויבות משפטית,</t>
  </si>
  <si>
    <t>המחוביות בהחלט קיימת ברמה המשתמעת;</t>
  </si>
  <si>
    <t>וזאת משום שקיום ציפיות חיצוניים כלפי החברה</t>
  </si>
  <si>
    <t>מובילות להסתמכות עליהן בפעלותיהם.</t>
  </si>
  <si>
    <t>אם החברה ״מאכזבת״ ציפיות אלו, היא צפויה לשאת</t>
  </si>
  <si>
    <t>בנזקים, ולכן דה-פקטו, למרות שאי אפשר לתבוע</t>
  </si>
  <si>
    <t xml:space="preserve">את החברה, קיימת לה התחייבות. </t>
  </si>
  <si>
    <t xml:space="preserve">התשובה ב, לפי הגדרת התקן. </t>
  </si>
  <si>
    <t>הסבר: הפרשה מוגדרת בתור התחייבות תלויה</t>
  </si>
  <si>
    <t>שמכירים בה - שמציגים אותה בדוחות. זאת,</t>
  </si>
  <si>
    <t>משום שצפויה יציאת הטבות כלכליות וניתן</t>
  </si>
  <si>
    <t xml:space="preserve">להעריך מהימנה את סכומן. </t>
  </si>
  <si>
    <t>היגד ב שגוי - התחייבות תלויה שאיננה הפרשה</t>
  </si>
  <si>
    <t xml:space="preserve">לא מוכרת (כלומר לא מוצגת בדוח). </t>
  </si>
  <si>
    <t>היגד ג שגוי - כי הדיון בהפרשה, והפרשה</t>
  </si>
  <si>
    <t xml:space="preserve">היא בפני עצמה התחייבות ולא נכס. </t>
  </si>
  <si>
    <t xml:space="preserve">היגד ד שגוי - לאור העובדה שיש להכיר בהפרשה </t>
  </si>
  <si>
    <t xml:space="preserve">כנתון. </t>
  </si>
  <si>
    <t>בשונה מהשאלה הקודמת, אין בנתוני השאלה או בניסוח</t>
  </si>
  <si>
    <t>שלה סממנים המעידים על כך שסבירות המימוש / צפי</t>
  </si>
  <si>
    <t>ההטבה מקיים את ההגדרות לעמידה בהפרשה שתוכר</t>
  </si>
  <si>
    <t>בגין האירוע.</t>
  </si>
  <si>
    <t>בהיעדר מידע כזה, מדובר בהתחייבות תלויה שאיננה</t>
  </si>
  <si>
    <t xml:space="preserve">הפרשה, ובמקרה כזה - יינתן גילוי נאות בגינה </t>
  </si>
  <si>
    <t xml:space="preserve">בכפוף למהותיות האירוע. </t>
  </si>
  <si>
    <t>עלות רכישת קורקינט בלבד - נתון</t>
  </si>
  <si>
    <t>עלות רכישת אחריות *אחרי מועד הרכישה* - נתון</t>
  </si>
  <si>
    <t>סך עלויות קורקינט ואחריות מורחבת בעסקה נפרדת</t>
  </si>
  <si>
    <t>בעברית: שיפוי = הטבה שצריכה להינתן מצד שלישי (גורם חיצוני) לשם כיסוי נזק מסוים. למשל: ד״ר צבאן התקשר</t>
  </si>
  <si>
    <t>בביטוח אחריות מקצועית. הביטוח מבטיח לו שיפוי במידה וייתבע על ידי יגאל על חוסר מקצועיות.</t>
  </si>
  <si>
    <t>ספציפית בהקשר של התקן IAS 37, אנו דנים בשיפויים שמתקבלים (נניח, מחברת ביטוח) כדי להעניק הטבה / השבה</t>
  </si>
  <si>
    <t xml:space="preserve">בדבר נזק / אירוע שלילי / יציאה כלכלית שמותנית באירוע עתידי מסויים (הפרשה). </t>
  </si>
  <si>
    <t>נשאלת השאלה: כיצד להכיר בשיפויים צפויים אלו? האם כנכס? האם כקיטון בהתחייבות? האם להתעלם מהם עד</t>
  </si>
  <si>
    <t>אשר הם מתקבלים?</t>
  </si>
  <si>
    <t>במדינה מתחיל הליך חקיקה ראשוני</t>
  </si>
  <si>
    <t>שבמידה ויאושר, יוביל לכך שחברות</t>
  </si>
  <si>
    <t>בענף מסוים יצטרכו לשלם פיצוי</t>
  </si>
  <si>
    <t>ללקוחות.</t>
  </si>
  <si>
    <t>הליך החקיקה בראשיתו, המחויבות</t>
  </si>
  <si>
    <t>עדיין לא הושלמה (פוטנציאלית),</t>
  </si>
  <si>
    <t>שכן תלויה בהשלמת הליך</t>
  </si>
  <si>
    <t>החקיקה.</t>
  </si>
  <si>
    <t>אם השלמת הליך החקיקה בהסתברות</t>
  </si>
  <si>
    <t>קלושה (סופר נמוכה), אז:</t>
  </si>
  <si>
    <t>אין גילוי (בחפירות) ואין הצגה (בדוחות).</t>
  </si>
  <si>
    <t xml:space="preserve">בכל מקרה אחר מעניקים גילוי (בחפירות). </t>
  </si>
  <si>
    <t>מחויבות פוטנציאלית - נניח למשל:</t>
  </si>
  <si>
    <t>היוון תזרימי תיקונים באקסל</t>
  </si>
  <si>
    <t xml:space="preserve">rate = </t>
  </si>
  <si>
    <t xml:space="preserve">NPV =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</si>
</sst>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8" formatCode="&quot;₪&quot;#,##0.00_);[Red]\(&quot;₪&quot;#,##0.00\)"/>
    <numFmt numFmtId="43" formatCode="_(* #,##0.00_);_(* \(#,##0.00\);_(* &quot;-&quot;??_);_(@_)"/>
    <numFmt numFmtId="164" formatCode="#,##0.000"/>
    <numFmt numFmtId="165" formatCode="0.000"/>
    <numFmt numFmtId="166" formatCode="#,##0.0"/>
    <numFmt numFmtId="167" formatCode="_(* #,##0.000_);_(* \(#,##0.000\);_(* &quot;-&quot;??_);_(@_)"/>
    <numFmt numFmtId="168" formatCode="_(* #,##0_);_(* \(#,##0\);_(* &quot;-&quot;??_);_(@_)"/>
    <numFmt numFmtId="169" formatCode="&quot;₪&quot;#,##0.000_);[Red]\(&quot;₪&quot;#,##0.000\)"/>
  </numFmts>
  <fonts count="45" x14ac:knownFonts="1">
    <font>
      <sz val="12"/>
      <color theme="1"/>
      <name val="Calibri"/>
      <family val="2"/>
      <scheme val="minor"/>
    </font>
    <font>
      <sz val="12"/>
      <color theme="1"/>
      <name val="David"/>
    </font>
    <font>
      <b/>
      <sz val="12"/>
      <color theme="1"/>
      <name val="David"/>
    </font>
    <font>
      <u/>
      <sz val="12"/>
      <color theme="1"/>
      <name val="David"/>
    </font>
    <font>
      <b/>
      <sz val="12"/>
      <color rgb="FFFF0000"/>
      <name val="David"/>
    </font>
    <font>
      <b/>
      <sz val="12"/>
      <name val="David"/>
    </font>
    <font>
      <sz val="12"/>
      <color rgb="FF000000"/>
      <name val="David"/>
    </font>
    <font>
      <sz val="12"/>
      <color rgb="FFFF0000"/>
      <name val="David"/>
    </font>
    <font>
      <b/>
      <sz val="18"/>
      <color rgb="FFFF0000"/>
      <name val="David"/>
    </font>
    <font>
      <sz val="12"/>
      <color theme="0"/>
      <name val="David"/>
    </font>
    <font>
      <sz val="12"/>
      <name val="David"/>
    </font>
    <font>
      <u/>
      <sz val="12"/>
      <color rgb="FFFF0000"/>
      <name val="David"/>
    </font>
    <font>
      <sz val="12"/>
      <color rgb="FF0070C0"/>
      <name val="David"/>
    </font>
    <font>
      <b/>
      <sz val="12"/>
      <color rgb="FF0070C0"/>
      <name val="David"/>
    </font>
    <font>
      <b/>
      <u/>
      <sz val="20"/>
      <color theme="1"/>
      <name val="David"/>
    </font>
    <font>
      <b/>
      <u/>
      <sz val="12"/>
      <color theme="1"/>
      <name val="David"/>
    </font>
    <font>
      <b/>
      <u/>
      <sz val="12"/>
      <name val="David"/>
    </font>
    <font>
      <u/>
      <sz val="12"/>
      <name val="David"/>
    </font>
    <font>
      <sz val="10"/>
      <name val="David"/>
    </font>
    <font>
      <b/>
      <sz val="12"/>
      <color rgb="FF00B0F0"/>
      <name val="David"/>
    </font>
    <font>
      <b/>
      <sz val="12"/>
      <color rgb="FF000000"/>
      <name val="David"/>
    </font>
    <font>
      <b/>
      <sz val="12"/>
      <color rgb="FF00B050"/>
      <name val="David"/>
    </font>
    <font>
      <sz val="12"/>
      <color rgb="FF00B050"/>
      <name val="David"/>
    </font>
    <font>
      <sz val="12"/>
      <color theme="1"/>
      <name val="Calibri"/>
      <family val="2"/>
      <scheme val="minor"/>
    </font>
    <font>
      <u/>
      <sz val="12"/>
      <color theme="10"/>
      <name val="Calibri"/>
      <family val="2"/>
      <scheme val="minor"/>
    </font>
    <font>
      <u/>
      <sz val="12"/>
      <color theme="10"/>
      <name val="David"/>
    </font>
    <font>
      <sz val="12"/>
      <color theme="2" tint="-9.9978637043366805E-2"/>
      <name val="David"/>
    </font>
    <font>
      <b/>
      <u/>
      <sz val="12"/>
      <color rgb="FF0070C0"/>
      <name val="David"/>
    </font>
    <font>
      <sz val="8"/>
      <name val="David"/>
    </font>
    <font>
      <sz val="10"/>
      <color theme="1"/>
      <name val="David"/>
    </font>
    <font>
      <b/>
      <sz val="12"/>
      <color rgb="FFFF7E79"/>
      <name val="David"/>
    </font>
    <font>
      <b/>
      <sz val="16"/>
      <color theme="1"/>
      <name val="David"/>
    </font>
    <font>
      <i/>
      <sz val="12"/>
      <color theme="1"/>
      <name val="David"/>
    </font>
    <font>
      <i/>
      <sz val="10"/>
      <name val="David"/>
    </font>
    <font>
      <b/>
      <u/>
      <sz val="12"/>
      <color rgb="FF00B050"/>
      <name val="David"/>
    </font>
    <font>
      <sz val="11"/>
      <color theme="1" tint="0.499984740745262"/>
      <name val="David"/>
    </font>
    <font>
      <b/>
      <sz val="12"/>
      <color theme="0"/>
      <name val="David"/>
    </font>
    <font>
      <b/>
      <sz val="12"/>
      <color rgb="FF7030A0"/>
      <name val="David"/>
    </font>
    <font>
      <b/>
      <sz val="11"/>
      <color theme="1"/>
      <name val="David"/>
    </font>
    <font>
      <b/>
      <sz val="18"/>
      <color theme="1"/>
      <name val="David"/>
    </font>
    <font>
      <b/>
      <sz val="18"/>
      <name val="David"/>
    </font>
    <font>
      <sz val="20"/>
      <color theme="1"/>
      <name val="David"/>
    </font>
    <font>
      <b/>
      <sz val="20"/>
      <color theme="1"/>
      <name val="David"/>
    </font>
    <font>
      <sz val="11"/>
      <color theme="1"/>
      <name val="David"/>
    </font>
    <font>
      <b/>
      <sz val="10"/>
      <color theme="1"/>
      <name val="David"/>
    </font>
  </fonts>
  <fills count="22">
    <fill>
      <patternFill patternType="none"/>
    </fill>
    <fill>
      <patternFill patternType="gray125"/>
    </fill>
    <fill>
      <patternFill patternType="solid">
        <fgColor rgb="FFFFFF00"/>
        <bgColor indexed="64"/>
      </patternFill>
    </fill>
    <fill>
      <patternFill patternType="solid">
        <fgColor rgb="FFFF8AD8"/>
        <bgColor indexed="64"/>
      </patternFill>
    </fill>
    <fill>
      <patternFill patternType="solid">
        <fgColor theme="2"/>
        <bgColor indexed="64"/>
      </patternFill>
    </fill>
    <fill>
      <patternFill patternType="solid">
        <fgColor theme="2" tint="-9.9978637043366805E-2"/>
        <bgColor indexed="64"/>
      </patternFill>
    </fill>
    <fill>
      <patternFill patternType="solid">
        <fgColor theme="4" tint="0.79998168889431442"/>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rgb="FF92D050"/>
        <bgColor indexed="64"/>
      </patternFill>
    </fill>
    <fill>
      <patternFill patternType="solid">
        <fgColor theme="5" tint="0.59999389629810485"/>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FFFF00"/>
        <bgColor rgb="FF000000"/>
      </patternFill>
    </fill>
    <fill>
      <patternFill patternType="solid">
        <fgColor theme="7" tint="0.59999389629810485"/>
        <bgColor indexed="64"/>
      </patternFill>
    </fill>
    <fill>
      <patternFill patternType="solid">
        <fgColor theme="4" tint="0.59999389629810485"/>
        <bgColor indexed="64"/>
      </patternFill>
    </fill>
    <fill>
      <patternFill patternType="solid">
        <fgColor theme="5" tint="0.79998168889431442"/>
        <bgColor indexed="64"/>
      </patternFill>
    </fill>
    <fill>
      <patternFill patternType="solid">
        <fgColor theme="5" tint="0.39997558519241921"/>
        <bgColor indexed="64"/>
      </patternFill>
    </fill>
    <fill>
      <patternFill patternType="solid">
        <fgColor theme="0"/>
        <bgColor indexed="64"/>
      </patternFill>
    </fill>
    <fill>
      <patternFill patternType="solid">
        <fgColor rgb="FFFFC000"/>
        <bgColor indexed="64"/>
      </patternFill>
    </fill>
    <fill>
      <patternFill patternType="solid">
        <fgColor theme="1"/>
        <bgColor indexed="64"/>
      </patternFill>
    </fill>
    <fill>
      <patternFill patternType="solid">
        <fgColor theme="6" tint="0.79998168889431442"/>
        <bgColor indexed="64"/>
      </patternFill>
    </fill>
  </fills>
  <borders count="32">
    <border>
      <left/>
      <right/>
      <top/>
      <bottom/>
      <diagonal/>
    </border>
    <border>
      <left/>
      <right/>
      <top/>
      <bottom style="thin">
        <color indexed="64"/>
      </bottom>
      <diagonal/>
    </border>
    <border>
      <left/>
      <right/>
      <top style="thin">
        <color auto="1"/>
      </top>
      <bottom style="dashed">
        <color auto="1"/>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indexed="64"/>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thin">
        <color auto="1"/>
      </left>
      <right style="thin">
        <color auto="1"/>
      </right>
      <top style="thin">
        <color auto="1"/>
      </top>
      <bottom style="thin">
        <color auto="1"/>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thin">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style="medium">
        <color indexed="64"/>
      </right>
      <top/>
      <bottom style="thin">
        <color indexed="64"/>
      </bottom>
      <diagonal/>
    </border>
  </borders>
  <cellStyleXfs count="4">
    <xf numFmtId="0" fontId="0" fillId="0" borderId="0"/>
    <xf numFmtId="43" fontId="23" fillId="0" borderId="0" applyFont="0" applyFill="0" applyBorder="0" applyAlignment="0" applyProtection="0"/>
    <xf numFmtId="0" fontId="24" fillId="0" borderId="0" applyNumberFormat="0" applyFill="0" applyBorder="0" applyAlignment="0" applyProtection="0"/>
    <xf numFmtId="9" fontId="23" fillId="0" borderId="0" applyFont="0" applyFill="0" applyBorder="0" applyAlignment="0" applyProtection="0"/>
  </cellStyleXfs>
  <cellXfs count="360">
    <xf numFmtId="0" fontId="0" fillId="0" borderId="0" xfId="0"/>
    <xf numFmtId="0" fontId="1" fillId="0" borderId="0" xfId="0" applyFont="1"/>
    <xf numFmtId="14" fontId="1" fillId="0" borderId="0" xfId="0" applyNumberFormat="1" applyFont="1"/>
    <xf numFmtId="0" fontId="2" fillId="0" borderId="0" xfId="0" applyFont="1"/>
    <xf numFmtId="0" fontId="2" fillId="2" borderId="0" xfId="0" applyFont="1" applyFill="1"/>
    <xf numFmtId="0" fontId="1" fillId="2" borderId="0" xfId="0" applyFont="1" applyFill="1"/>
    <xf numFmtId="0" fontId="1" fillId="3" borderId="0" xfId="0" applyFont="1" applyFill="1"/>
    <xf numFmtId="0" fontId="1" fillId="0" borderId="0" xfId="0" applyFont="1" applyAlignment="1">
      <alignment horizontal="center"/>
    </xf>
    <xf numFmtId="0" fontId="4" fillId="0" borderId="0" xfId="0" applyFont="1"/>
    <xf numFmtId="0" fontId="1" fillId="0" borderId="0" xfId="0" applyFont="1" applyAlignment="1">
      <alignment horizontal="right"/>
    </xf>
    <xf numFmtId="0" fontId="1" fillId="0" borderId="1" xfId="0" applyFont="1" applyBorder="1"/>
    <xf numFmtId="3" fontId="1" fillId="0" borderId="0" xfId="0" applyNumberFormat="1" applyFont="1"/>
    <xf numFmtId="14" fontId="2" fillId="4" borderId="0" xfId="0" applyNumberFormat="1" applyFont="1" applyFill="1"/>
    <xf numFmtId="0" fontId="1" fillId="4" borderId="0" xfId="0" applyFont="1" applyFill="1"/>
    <xf numFmtId="14" fontId="1" fillId="0" borderId="1" xfId="0" applyNumberFormat="1" applyFont="1" applyBorder="1"/>
    <xf numFmtId="3" fontId="1" fillId="0" borderId="2" xfId="0" applyNumberFormat="1" applyFont="1" applyBorder="1"/>
    <xf numFmtId="3" fontId="1" fillId="2" borderId="3" xfId="0" applyNumberFormat="1" applyFont="1" applyFill="1" applyBorder="1"/>
    <xf numFmtId="37" fontId="1" fillId="0" borderId="0" xfId="0" applyNumberFormat="1" applyFont="1"/>
    <xf numFmtId="14" fontId="2" fillId="0" borderId="0" xfId="0" applyNumberFormat="1" applyFont="1"/>
    <xf numFmtId="0" fontId="5" fillId="0" borderId="0" xfId="0" applyFont="1"/>
    <xf numFmtId="3" fontId="6" fillId="0" borderId="0" xfId="0" applyNumberFormat="1" applyFont="1" applyAlignment="1">
      <alignment readingOrder="1"/>
    </xf>
    <xf numFmtId="0" fontId="7" fillId="0" borderId="0" xfId="0" applyFont="1"/>
    <xf numFmtId="0" fontId="2" fillId="5" borderId="0" xfId="0" applyFont="1" applyFill="1"/>
    <xf numFmtId="0" fontId="1" fillId="5" borderId="0" xfId="0" applyFont="1" applyFill="1"/>
    <xf numFmtId="14" fontId="1" fillId="2" borderId="0" xfId="0" applyNumberFormat="1" applyFont="1" applyFill="1"/>
    <xf numFmtId="3" fontId="1" fillId="2" borderId="0" xfId="0" applyNumberFormat="1" applyFont="1" applyFill="1"/>
    <xf numFmtId="14" fontId="1" fillId="0" borderId="0" xfId="0" applyNumberFormat="1" applyFont="1" applyAlignment="1">
      <alignment horizontal="right"/>
    </xf>
    <xf numFmtId="37" fontId="1" fillId="6" borderId="0" xfId="0" applyNumberFormat="1" applyFont="1" applyFill="1"/>
    <xf numFmtId="3" fontId="1" fillId="6" borderId="0" xfId="0" applyNumberFormat="1" applyFont="1" applyFill="1"/>
    <xf numFmtId="0" fontId="8" fillId="0" borderId="0" xfId="0" applyFont="1"/>
    <xf numFmtId="0" fontId="2" fillId="7" borderId="0" xfId="0" applyFont="1" applyFill="1"/>
    <xf numFmtId="0" fontId="2" fillId="0" borderId="4" xfId="0" applyFont="1" applyBorder="1"/>
    <xf numFmtId="0" fontId="1" fillId="0" borderId="5"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2" fillId="4" borderId="0" xfId="0" applyFont="1" applyFill="1"/>
    <xf numFmtId="3" fontId="1" fillId="0" borderId="3" xfId="0" applyNumberFormat="1" applyFont="1" applyBorder="1"/>
    <xf numFmtId="0" fontId="1" fillId="0" borderId="1" xfId="0" applyFont="1" applyBorder="1" applyAlignment="1">
      <alignment horizontal="center"/>
    </xf>
    <xf numFmtId="3" fontId="1" fillId="0" borderId="0" xfId="0" applyNumberFormat="1" applyFont="1" applyAlignment="1">
      <alignment horizontal="center"/>
    </xf>
    <xf numFmtId="3" fontId="1" fillId="2" borderId="0" xfId="0" applyNumberFormat="1" applyFont="1" applyFill="1" applyAlignment="1">
      <alignment horizontal="center"/>
    </xf>
    <xf numFmtId="0" fontId="4" fillId="0" borderId="0" xfId="0" applyFont="1" applyAlignment="1">
      <alignment horizontal="center"/>
    </xf>
    <xf numFmtId="3" fontId="4" fillId="0" borderId="0" xfId="0" applyNumberFormat="1" applyFont="1" applyAlignment="1">
      <alignment horizontal="center"/>
    </xf>
    <xf numFmtId="0" fontId="1" fillId="0" borderId="4" xfId="0" applyFont="1" applyBorder="1"/>
    <xf numFmtId="0" fontId="7" fillId="0" borderId="4" xfId="0" applyFont="1" applyBorder="1"/>
    <xf numFmtId="0" fontId="7" fillId="0" borderId="5" xfId="0" applyFont="1" applyBorder="1"/>
    <xf numFmtId="0" fontId="7" fillId="0" borderId="6" xfId="0" applyFont="1" applyBorder="1"/>
    <xf numFmtId="0" fontId="7" fillId="0" borderId="7" xfId="0" applyFont="1" applyBorder="1"/>
    <xf numFmtId="0" fontId="7" fillId="0" borderId="8" xfId="0" applyFont="1" applyBorder="1"/>
    <xf numFmtId="0" fontId="7" fillId="0" borderId="9" xfId="0" applyFont="1" applyBorder="1"/>
    <xf numFmtId="0" fontId="7" fillId="0" borderId="10" xfId="0" applyFont="1" applyBorder="1"/>
    <xf numFmtId="0" fontId="7" fillId="0" borderId="11" xfId="0" applyFont="1" applyBorder="1"/>
    <xf numFmtId="14" fontId="1" fillId="8" borderId="0" xfId="0" applyNumberFormat="1" applyFont="1" applyFill="1"/>
    <xf numFmtId="0" fontId="1" fillId="8" borderId="0" xfId="0" applyFont="1" applyFill="1"/>
    <xf numFmtId="3" fontId="4" fillId="0" borderId="0" xfId="0" applyNumberFormat="1" applyFont="1"/>
    <xf numFmtId="3" fontId="9" fillId="0" borderId="0" xfId="0" applyNumberFormat="1" applyFont="1"/>
    <xf numFmtId="0" fontId="9" fillId="0" borderId="0" xfId="0" applyFont="1"/>
    <xf numFmtId="3" fontId="10" fillId="0" borderId="0" xfId="0" applyNumberFormat="1" applyFont="1"/>
    <xf numFmtId="3" fontId="10" fillId="0" borderId="3" xfId="0" applyNumberFormat="1" applyFont="1" applyBorder="1"/>
    <xf numFmtId="0" fontId="10" fillId="0" borderId="0" xfId="0" applyFont="1"/>
    <xf numFmtId="37" fontId="10" fillId="0" borderId="0" xfId="0" applyNumberFormat="1" applyFont="1"/>
    <xf numFmtId="3" fontId="5" fillId="0" borderId="0" xfId="0" applyNumberFormat="1" applyFont="1"/>
    <xf numFmtId="0" fontId="1" fillId="7" borderId="0" xfId="0" applyFont="1" applyFill="1"/>
    <xf numFmtId="0" fontId="12" fillId="0" borderId="0" xfId="0" applyFont="1"/>
    <xf numFmtId="0" fontId="12" fillId="0" borderId="1" xfId="0" applyFont="1" applyBorder="1"/>
    <xf numFmtId="0" fontId="13" fillId="0" borderId="0" xfId="0" applyFont="1"/>
    <xf numFmtId="0" fontId="1" fillId="0" borderId="3" xfId="0" applyFont="1" applyBorder="1" applyAlignment="1">
      <alignment horizontal="center"/>
    </xf>
    <xf numFmtId="0" fontId="1" fillId="2" borderId="4" xfId="0" applyFont="1" applyFill="1" applyBorder="1"/>
    <xf numFmtId="0" fontId="1" fillId="2" borderId="5" xfId="0" applyFont="1" applyFill="1" applyBorder="1"/>
    <xf numFmtId="0" fontId="1" fillId="2" borderId="6" xfId="0" applyFont="1" applyFill="1" applyBorder="1"/>
    <xf numFmtId="0" fontId="1" fillId="2" borderId="9" xfId="0" applyFont="1" applyFill="1" applyBorder="1"/>
    <xf numFmtId="0" fontId="1" fillId="2" borderId="10" xfId="0" applyFont="1" applyFill="1" applyBorder="1"/>
    <xf numFmtId="0" fontId="1" fillId="2" borderId="11" xfId="0" applyFont="1" applyFill="1" applyBorder="1"/>
    <xf numFmtId="0" fontId="2" fillId="0" borderId="5" xfId="0" applyFont="1" applyBorder="1"/>
    <xf numFmtId="0" fontId="2" fillId="0" borderId="6" xfId="0" applyFont="1" applyBorder="1"/>
    <xf numFmtId="0" fontId="2" fillId="0" borderId="7" xfId="0" applyFont="1" applyBorder="1"/>
    <xf numFmtId="0" fontId="2" fillId="0" borderId="8" xfId="0" applyFont="1" applyBorder="1"/>
    <xf numFmtId="0" fontId="2" fillId="0" borderId="9" xfId="0" applyFont="1" applyBorder="1"/>
    <xf numFmtId="0" fontId="2" fillId="0" borderId="10" xfId="0" applyFont="1" applyBorder="1"/>
    <xf numFmtId="0" fontId="2" fillId="0" borderId="11" xfId="0" applyFont="1" applyBorder="1"/>
    <xf numFmtId="0" fontId="2" fillId="11" borderId="0" xfId="0" applyFont="1" applyFill="1"/>
    <xf numFmtId="0" fontId="1" fillId="11" borderId="0" xfId="0" applyFont="1" applyFill="1"/>
    <xf numFmtId="3" fontId="10" fillId="0" borderId="2" xfId="0" applyNumberFormat="1" applyFont="1" applyBorder="1"/>
    <xf numFmtId="0" fontId="18" fillId="0" borderId="0" xfId="0" applyFont="1"/>
    <xf numFmtId="0" fontId="10" fillId="0" borderId="4" xfId="0" applyFont="1" applyBorder="1"/>
    <xf numFmtId="0" fontId="10" fillId="0" borderId="5" xfId="0" applyFont="1" applyBorder="1"/>
    <xf numFmtId="0" fontId="10" fillId="0" borderId="6" xfId="0" applyFont="1" applyBorder="1"/>
    <xf numFmtId="0" fontId="10" fillId="0" borderId="7" xfId="0" applyFont="1" applyBorder="1"/>
    <xf numFmtId="0" fontId="10" fillId="0" borderId="8" xfId="0" applyFont="1" applyBorder="1"/>
    <xf numFmtId="0" fontId="10" fillId="0" borderId="9" xfId="0" applyFont="1" applyBorder="1"/>
    <xf numFmtId="0" fontId="10" fillId="0" borderId="10" xfId="0" applyFont="1" applyBorder="1"/>
    <xf numFmtId="0" fontId="10" fillId="0" borderId="11" xfId="0" applyFont="1" applyBorder="1"/>
    <xf numFmtId="0" fontId="10" fillId="0" borderId="1" xfId="0" applyFont="1" applyBorder="1"/>
    <xf numFmtId="0" fontId="10" fillId="0" borderId="0" xfId="0" applyFont="1" applyAlignment="1">
      <alignment horizontal="center" vertical="center"/>
    </xf>
    <xf numFmtId="0" fontId="19" fillId="0" borderId="0" xfId="0" applyFont="1"/>
    <xf numFmtId="0" fontId="5" fillId="0" borderId="4" xfId="0" applyFont="1" applyBorder="1"/>
    <xf numFmtId="0" fontId="5" fillId="0" borderId="7" xfId="0" applyFont="1" applyBorder="1"/>
    <xf numFmtId="0" fontId="5" fillId="0" borderId="9" xfId="0" applyFont="1" applyBorder="1"/>
    <xf numFmtId="0" fontId="5" fillId="0" borderId="5" xfId="0" applyFont="1" applyBorder="1"/>
    <xf numFmtId="0" fontId="5" fillId="0" borderId="6" xfId="0" applyFont="1" applyBorder="1"/>
    <xf numFmtId="0" fontId="5" fillId="0" borderId="8" xfId="0" applyFont="1" applyBorder="1"/>
    <xf numFmtId="0" fontId="5" fillId="0" borderId="10" xfId="0" applyFont="1" applyBorder="1"/>
    <xf numFmtId="0" fontId="5" fillId="0" borderId="11" xfId="0" applyFont="1" applyBorder="1"/>
    <xf numFmtId="0" fontId="2" fillId="0" borderId="0" xfId="0" applyFont="1" applyAlignment="1">
      <alignment horizontal="left"/>
    </xf>
    <xf numFmtId="0" fontId="2" fillId="0" borderId="0" xfId="0" applyFont="1" applyAlignment="1">
      <alignment horizontal="center"/>
    </xf>
    <xf numFmtId="14" fontId="1" fillId="0" borderId="1" xfId="0" applyNumberFormat="1" applyFont="1" applyBorder="1" applyAlignment="1">
      <alignment horizontal="center"/>
    </xf>
    <xf numFmtId="37" fontId="1" fillId="0" borderId="0" xfId="0" applyNumberFormat="1" applyFont="1" applyAlignment="1">
      <alignment horizontal="center"/>
    </xf>
    <xf numFmtId="3" fontId="1" fillId="0" borderId="2" xfId="0" applyNumberFormat="1" applyFont="1" applyBorder="1" applyAlignment="1">
      <alignment horizontal="center"/>
    </xf>
    <xf numFmtId="37" fontId="1" fillId="0" borderId="2" xfId="0" applyNumberFormat="1" applyFont="1" applyBorder="1" applyAlignment="1">
      <alignment horizontal="center"/>
    </xf>
    <xf numFmtId="0" fontId="1" fillId="12" borderId="0" xfId="0" applyFont="1" applyFill="1"/>
    <xf numFmtId="37" fontId="1" fillId="0" borderId="6" xfId="0" applyNumberFormat="1" applyFont="1" applyBorder="1" applyAlignment="1">
      <alignment horizontal="center"/>
    </xf>
    <xf numFmtId="37" fontId="1" fillId="0" borderId="11" xfId="0" applyNumberFormat="1" applyFont="1" applyBorder="1" applyAlignment="1">
      <alignment horizontal="center"/>
    </xf>
    <xf numFmtId="3" fontId="1" fillId="0" borderId="6" xfId="0" applyNumberFormat="1" applyFont="1" applyBorder="1"/>
    <xf numFmtId="3" fontId="1" fillId="0" borderId="11" xfId="0" applyNumberFormat="1" applyFont="1" applyBorder="1"/>
    <xf numFmtId="37" fontId="1" fillId="0" borderId="6" xfId="0" applyNumberFormat="1" applyFont="1" applyBorder="1"/>
    <xf numFmtId="37" fontId="1" fillId="0" borderId="11" xfId="0" applyNumberFormat="1" applyFont="1" applyBorder="1"/>
    <xf numFmtId="37" fontId="1" fillId="0" borderId="3" xfId="0" applyNumberFormat="1" applyFont="1" applyBorder="1"/>
    <xf numFmtId="9" fontId="1" fillId="0" borderId="0" xfId="0" applyNumberFormat="1" applyFont="1"/>
    <xf numFmtId="0" fontId="1" fillId="0" borderId="0" xfId="0" quotePrefix="1" applyFont="1"/>
    <xf numFmtId="0" fontId="10" fillId="0" borderId="0" xfId="0" applyFont="1" applyAlignment="1">
      <alignment horizontal="center"/>
    </xf>
    <xf numFmtId="0" fontId="10" fillId="0" borderId="1" xfId="0" applyFont="1" applyBorder="1" applyAlignment="1">
      <alignment horizontal="center"/>
    </xf>
    <xf numFmtId="3" fontId="10" fillId="0" borderId="2" xfId="0" applyNumberFormat="1" applyFont="1" applyBorder="1" applyAlignment="1">
      <alignment horizontal="center"/>
    </xf>
    <xf numFmtId="3" fontId="10" fillId="0" borderId="0" xfId="0" applyNumberFormat="1" applyFont="1" applyAlignment="1">
      <alignment horizontal="center"/>
    </xf>
    <xf numFmtId="37" fontId="10" fillId="0" borderId="2" xfId="0" applyNumberFormat="1" applyFont="1" applyBorder="1" applyAlignment="1">
      <alignment horizontal="center"/>
    </xf>
    <xf numFmtId="37" fontId="10" fillId="0" borderId="0" xfId="0" applyNumberFormat="1" applyFont="1" applyAlignment="1">
      <alignment horizontal="center"/>
    </xf>
    <xf numFmtId="14" fontId="10" fillId="0" borderId="1" xfId="0" applyNumberFormat="1" applyFont="1" applyBorder="1" applyAlignment="1">
      <alignment horizontal="center"/>
    </xf>
    <xf numFmtId="0" fontId="4" fillId="12" borderId="0" xfId="0" applyFont="1" applyFill="1"/>
    <xf numFmtId="0" fontId="2" fillId="6" borderId="0" xfId="0" applyFont="1" applyFill="1"/>
    <xf numFmtId="14" fontId="12" fillId="0" borderId="1" xfId="0" applyNumberFormat="1" applyFont="1" applyBorder="1"/>
    <xf numFmtId="3" fontId="12" fillId="0" borderId="0" xfId="0" applyNumberFormat="1" applyFont="1"/>
    <xf numFmtId="3" fontId="12" fillId="0" borderId="3" xfId="0" applyNumberFormat="1" applyFont="1" applyBorder="1"/>
    <xf numFmtId="3" fontId="1" fillId="0" borderId="1" xfId="0" applyNumberFormat="1" applyFont="1" applyBorder="1"/>
    <xf numFmtId="3" fontId="21" fillId="0" borderId="0" xfId="0" applyNumberFormat="1" applyFont="1"/>
    <xf numFmtId="0" fontId="1" fillId="0" borderId="0" xfId="0" applyFont="1" applyAlignment="1">
      <alignment horizontal="right" readingOrder="2"/>
    </xf>
    <xf numFmtId="0" fontId="1" fillId="14" borderId="0" xfId="0" applyFont="1" applyFill="1"/>
    <xf numFmtId="3" fontId="1" fillId="14" borderId="0" xfId="0" applyNumberFormat="1" applyFont="1" applyFill="1"/>
    <xf numFmtId="3" fontId="13" fillId="0" borderId="0" xfId="0" applyNumberFormat="1" applyFont="1"/>
    <xf numFmtId="14" fontId="10" fillId="0" borderId="1" xfId="0" applyNumberFormat="1" applyFont="1" applyBorder="1"/>
    <xf numFmtId="14" fontId="2" fillId="0" borderId="1" xfId="0" applyNumberFormat="1" applyFont="1" applyBorder="1"/>
    <xf numFmtId="37" fontId="1" fillId="0" borderId="2" xfId="0" applyNumberFormat="1" applyFont="1" applyBorder="1"/>
    <xf numFmtId="0" fontId="2" fillId="0" borderId="13" xfId="0" applyFont="1" applyBorder="1"/>
    <xf numFmtId="0" fontId="2" fillId="0" borderId="15" xfId="0" applyFont="1" applyBorder="1"/>
    <xf numFmtId="0" fontId="2" fillId="0" borderId="14" xfId="0" applyFont="1" applyBorder="1"/>
    <xf numFmtId="37" fontId="1" fillId="7" borderId="0" xfId="0" applyNumberFormat="1" applyFont="1" applyFill="1"/>
    <xf numFmtId="0" fontId="22" fillId="0" borderId="0" xfId="0" applyFont="1"/>
    <xf numFmtId="9" fontId="10" fillId="0" borderId="0" xfId="0" applyNumberFormat="1" applyFont="1"/>
    <xf numFmtId="0" fontId="2" fillId="15" borderId="0" xfId="0" applyFont="1" applyFill="1"/>
    <xf numFmtId="0" fontId="1" fillId="15" borderId="0" xfId="0" applyFont="1" applyFill="1"/>
    <xf numFmtId="0" fontId="3" fillId="0" borderId="0" xfId="0" applyFont="1"/>
    <xf numFmtId="37" fontId="1" fillId="6" borderId="0" xfId="0" applyNumberFormat="1" applyFont="1" applyFill="1" applyAlignment="1">
      <alignment horizontal="center"/>
    </xf>
    <xf numFmtId="37" fontId="19" fillId="0" borderId="0" xfId="0" applyNumberFormat="1" applyFont="1"/>
    <xf numFmtId="0" fontId="4" fillId="2" borderId="0" xfId="0" applyFont="1" applyFill="1"/>
    <xf numFmtId="0" fontId="10" fillId="0" borderId="2" xfId="0" applyFont="1" applyBorder="1"/>
    <xf numFmtId="9" fontId="10" fillId="0" borderId="0" xfId="0" applyNumberFormat="1" applyFont="1" applyAlignment="1">
      <alignment horizontal="center"/>
    </xf>
    <xf numFmtId="0" fontId="10" fillId="0" borderId="2" xfId="0" applyFont="1" applyBorder="1" applyAlignment="1">
      <alignment horizontal="center"/>
    </xf>
    <xf numFmtId="0" fontId="25" fillId="0" borderId="0" xfId="2" applyFont="1"/>
    <xf numFmtId="166" fontId="1" fillId="0" borderId="0" xfId="0" applyNumberFormat="1" applyFont="1" applyAlignment="1">
      <alignment horizontal="right"/>
    </xf>
    <xf numFmtId="164" fontId="1" fillId="0" borderId="0" xfId="0" applyNumberFormat="1" applyFont="1"/>
    <xf numFmtId="167" fontId="1" fillId="0" borderId="0" xfId="1" applyNumberFormat="1" applyFont="1"/>
    <xf numFmtId="0" fontId="21" fillId="0" borderId="0" xfId="0" applyFont="1"/>
    <xf numFmtId="0" fontId="1" fillId="0" borderId="3" xfId="0" applyFont="1" applyBorder="1"/>
    <xf numFmtId="0" fontId="1" fillId="0" borderId="13" xfId="0" applyFont="1" applyBorder="1"/>
    <xf numFmtId="0" fontId="1" fillId="0" borderId="14" xfId="0" applyFont="1" applyBorder="1"/>
    <xf numFmtId="0" fontId="2" fillId="16" borderId="0" xfId="0" applyFont="1" applyFill="1"/>
    <xf numFmtId="0" fontId="1" fillId="16" borderId="0" xfId="0" applyFont="1" applyFill="1"/>
    <xf numFmtId="0" fontId="5" fillId="16" borderId="0" xfId="0" applyFont="1" applyFill="1"/>
    <xf numFmtId="0" fontId="10" fillId="16" borderId="0" xfId="0" applyFont="1" applyFill="1"/>
    <xf numFmtId="0" fontId="10" fillId="0" borderId="0" xfId="0" applyFont="1" applyAlignment="1">
      <alignment horizontal="left"/>
    </xf>
    <xf numFmtId="0" fontId="10" fillId="0" borderId="0" xfId="0" applyFont="1" applyAlignment="1">
      <alignment horizontal="right"/>
    </xf>
    <xf numFmtId="0" fontId="10" fillId="6" borderId="0" xfId="0" applyFont="1" applyFill="1"/>
    <xf numFmtId="0" fontId="5" fillId="6" borderId="0" xfId="0" applyFont="1" applyFill="1"/>
    <xf numFmtId="37" fontId="7" fillId="0" borderId="0" xfId="0" applyNumberFormat="1" applyFont="1"/>
    <xf numFmtId="3" fontId="7" fillId="0" borderId="0" xfId="0" applyNumberFormat="1" applyFont="1"/>
    <xf numFmtId="3" fontId="1" fillId="17" borderId="3" xfId="0" applyNumberFormat="1" applyFont="1" applyFill="1" applyBorder="1"/>
    <xf numFmtId="37" fontId="10" fillId="0" borderId="2" xfId="0" applyNumberFormat="1" applyFont="1" applyBorder="1"/>
    <xf numFmtId="37" fontId="5" fillId="0" borderId="0" xfId="0" applyNumberFormat="1" applyFont="1"/>
    <xf numFmtId="0" fontId="10" fillId="5" borderId="3" xfId="0" applyFont="1" applyFill="1" applyBorder="1"/>
    <xf numFmtId="37" fontId="10" fillId="2" borderId="3" xfId="0" applyNumberFormat="1" applyFont="1" applyFill="1" applyBorder="1"/>
    <xf numFmtId="0" fontId="26" fillId="0" borderId="0" xfId="0" applyFont="1"/>
    <xf numFmtId="3" fontId="26" fillId="0" borderId="0" xfId="0" applyNumberFormat="1" applyFont="1"/>
    <xf numFmtId="37" fontId="26" fillId="0" borderId="0" xfId="0" applyNumberFormat="1" applyFont="1"/>
    <xf numFmtId="3" fontId="26" fillId="0" borderId="3" xfId="0" applyNumberFormat="1" applyFont="1" applyBorder="1"/>
    <xf numFmtId="37" fontId="10" fillId="0" borderId="16" xfId="0" applyNumberFormat="1" applyFont="1" applyBorder="1"/>
    <xf numFmtId="0" fontId="1" fillId="10" borderId="0" xfId="0" applyFont="1" applyFill="1"/>
    <xf numFmtId="0" fontId="1" fillId="6" borderId="0" xfId="0" applyFont="1" applyFill="1"/>
    <xf numFmtId="166" fontId="10" fillId="0" borderId="0" xfId="0" applyNumberFormat="1" applyFont="1" applyAlignment="1">
      <alignment horizontal="right"/>
    </xf>
    <xf numFmtId="165" fontId="10" fillId="0" borderId="0" xfId="0" applyNumberFormat="1" applyFont="1" applyAlignment="1">
      <alignment horizontal="right"/>
    </xf>
    <xf numFmtId="10" fontId="7" fillId="0" borderId="0" xfId="3" applyNumberFormat="1" applyFont="1"/>
    <xf numFmtId="164" fontId="10" fillId="2" borderId="0" xfId="0" applyNumberFormat="1" applyFont="1" applyFill="1" applyAlignment="1">
      <alignment horizontal="right"/>
    </xf>
    <xf numFmtId="0" fontId="10" fillId="0" borderId="13" xfId="0" applyFont="1" applyBorder="1"/>
    <xf numFmtId="0" fontId="10" fillId="0" borderId="14" xfId="0" applyFont="1" applyBorder="1"/>
    <xf numFmtId="0" fontId="1" fillId="0" borderId="17" xfId="0" applyFont="1" applyBorder="1"/>
    <xf numFmtId="0" fontId="1" fillId="0" borderId="18" xfId="0" applyFont="1" applyBorder="1"/>
    <xf numFmtId="0" fontId="1" fillId="0" borderId="20" xfId="0" applyFont="1" applyBorder="1"/>
    <xf numFmtId="0" fontId="1" fillId="0" borderId="21" xfId="0" applyFont="1" applyBorder="1"/>
    <xf numFmtId="0" fontId="1" fillId="0" borderId="20" xfId="0" applyFont="1" applyBorder="1" applyAlignment="1">
      <alignment horizontal="center"/>
    </xf>
    <xf numFmtId="0" fontId="1" fillId="0" borderId="22" xfId="0" applyFont="1" applyBorder="1" applyAlignment="1">
      <alignment horizontal="center"/>
    </xf>
    <xf numFmtId="0" fontId="1" fillId="0" borderId="21" xfId="0" applyFont="1" applyBorder="1" applyAlignment="1">
      <alignment horizontal="center"/>
    </xf>
    <xf numFmtId="0" fontId="1" fillId="0" borderId="22" xfId="0" applyFont="1" applyBorder="1"/>
    <xf numFmtId="3" fontId="2" fillId="7" borderId="2" xfId="0" applyNumberFormat="1" applyFont="1" applyFill="1" applyBorder="1"/>
    <xf numFmtId="14" fontId="1" fillId="0" borderId="23" xfId="0" applyNumberFormat="1" applyFont="1" applyBorder="1"/>
    <xf numFmtId="3" fontId="1" fillId="0" borderId="8" xfId="0" applyNumberFormat="1" applyFont="1" applyBorder="1"/>
    <xf numFmtId="3" fontId="1" fillId="0" borderId="19" xfId="0" applyNumberFormat="1" applyFont="1" applyBorder="1"/>
    <xf numFmtId="14" fontId="2" fillId="18" borderId="0" xfId="0" applyNumberFormat="1" applyFont="1" applyFill="1"/>
    <xf numFmtId="0" fontId="2" fillId="18" borderId="0" xfId="0" applyFont="1" applyFill="1"/>
    <xf numFmtId="0" fontId="1" fillId="18" borderId="0" xfId="0" applyFont="1" applyFill="1"/>
    <xf numFmtId="0" fontId="1" fillId="2" borderId="0" xfId="0" applyFont="1" applyFill="1" applyAlignment="1">
      <alignment horizontal="center"/>
    </xf>
    <xf numFmtId="14" fontId="2" fillId="5" borderId="0" xfId="0" applyNumberFormat="1" applyFont="1" applyFill="1"/>
    <xf numFmtId="14" fontId="1" fillId="0" borderId="0" xfId="0" applyNumberFormat="1" applyFont="1" applyAlignment="1">
      <alignment horizontal="center"/>
    </xf>
    <xf numFmtId="14" fontId="2" fillId="0" borderId="4" xfId="0" applyNumberFormat="1" applyFont="1" applyBorder="1"/>
    <xf numFmtId="14" fontId="2" fillId="0" borderId="7" xfId="0" applyNumberFormat="1" applyFont="1" applyBorder="1"/>
    <xf numFmtId="14" fontId="1" fillId="0" borderId="9" xfId="0" applyNumberFormat="1" applyFont="1" applyBorder="1"/>
    <xf numFmtId="14" fontId="27" fillId="0" borderId="0" xfId="0" applyNumberFormat="1" applyFont="1"/>
    <xf numFmtId="0" fontId="27" fillId="0" borderId="0" xfId="0" applyFont="1"/>
    <xf numFmtId="0" fontId="2" fillId="19" borderId="0" xfId="0" applyFont="1" applyFill="1"/>
    <xf numFmtId="14" fontId="1" fillId="0" borderId="23" xfId="0" applyNumberFormat="1" applyFont="1" applyBorder="1" applyAlignment="1">
      <alignment horizontal="center"/>
    </xf>
    <xf numFmtId="0" fontId="1" fillId="0" borderId="8" xfId="0" applyFont="1" applyBorder="1" applyAlignment="1">
      <alignment horizontal="center"/>
    </xf>
    <xf numFmtId="3" fontId="1" fillId="0" borderId="11" xfId="0" applyNumberFormat="1" applyFont="1" applyBorder="1" applyAlignment="1">
      <alignment horizontal="center"/>
    </xf>
    <xf numFmtId="3" fontId="1" fillId="0" borderId="8" xfId="0" applyNumberFormat="1" applyFont="1" applyBorder="1" applyAlignment="1">
      <alignment horizontal="center"/>
    </xf>
    <xf numFmtId="3" fontId="1" fillId="0" borderId="10" xfId="0" applyNumberFormat="1" applyFont="1" applyBorder="1"/>
    <xf numFmtId="9" fontId="7" fillId="0" borderId="0" xfId="0" applyNumberFormat="1" applyFont="1"/>
    <xf numFmtId="168" fontId="1" fillId="0" borderId="0" xfId="1" applyNumberFormat="1" applyFont="1"/>
    <xf numFmtId="0" fontId="4" fillId="0" borderId="4" xfId="0" applyFont="1" applyBorder="1"/>
    <xf numFmtId="0" fontId="4" fillId="0" borderId="7" xfId="0" applyFont="1" applyBorder="1"/>
    <xf numFmtId="0" fontId="4" fillId="0" borderId="9" xfId="0" applyFont="1" applyBorder="1"/>
    <xf numFmtId="0" fontId="1" fillId="0" borderId="0" xfId="0" applyFont="1" applyAlignment="1">
      <alignment horizontal="left"/>
    </xf>
    <xf numFmtId="0" fontId="4" fillId="0" borderId="10" xfId="0" applyFont="1" applyBorder="1"/>
    <xf numFmtId="0" fontId="29" fillId="0" borderId="0" xfId="0" applyFont="1"/>
    <xf numFmtId="0" fontId="30" fillId="0" borderId="9" xfId="0" applyFont="1" applyBorder="1"/>
    <xf numFmtId="0" fontId="30" fillId="0" borderId="0" xfId="0" applyFont="1"/>
    <xf numFmtId="0" fontId="30" fillId="0" borderId="5" xfId="0" applyFont="1" applyBorder="1"/>
    <xf numFmtId="0" fontId="30" fillId="0" borderId="10" xfId="0" applyFont="1" applyBorder="1"/>
    <xf numFmtId="0" fontId="31" fillId="0" borderId="0" xfId="0" applyFont="1"/>
    <xf numFmtId="37" fontId="1" fillId="7" borderId="3" xfId="0" applyNumberFormat="1" applyFont="1" applyFill="1" applyBorder="1" applyAlignment="1">
      <alignment horizontal="center"/>
    </xf>
    <xf numFmtId="0" fontId="32" fillId="0" borderId="0" xfId="0" applyFont="1"/>
    <xf numFmtId="0" fontId="33" fillId="0" borderId="0" xfId="0" applyFont="1"/>
    <xf numFmtId="0" fontId="4" fillId="0" borderId="5" xfId="0" applyFont="1" applyBorder="1"/>
    <xf numFmtId="0" fontId="4" fillId="0" borderId="6" xfId="0" applyFont="1" applyBorder="1"/>
    <xf numFmtId="0" fontId="4" fillId="0" borderId="11" xfId="0" applyFont="1" applyBorder="1"/>
    <xf numFmtId="3" fontId="1" fillId="0" borderId="13" xfId="0" applyNumberFormat="1" applyFont="1" applyBorder="1"/>
    <xf numFmtId="3" fontId="12" fillId="0" borderId="22" xfId="0" applyNumberFormat="1" applyFont="1" applyBorder="1"/>
    <xf numFmtId="0" fontId="12" fillId="0" borderId="22" xfId="0" applyFont="1" applyBorder="1"/>
    <xf numFmtId="3" fontId="12" fillId="0" borderId="21" xfId="0" applyNumberFormat="1" applyFont="1" applyBorder="1"/>
    <xf numFmtId="14" fontId="13" fillId="0" borderId="24" xfId="0" applyNumberFormat="1" applyFont="1" applyBorder="1"/>
    <xf numFmtId="3" fontId="13" fillId="0" borderId="3" xfId="0" applyNumberFormat="1" applyFont="1" applyBorder="1"/>
    <xf numFmtId="0" fontId="1" fillId="0" borderId="3" xfId="0" quotePrefix="1" applyFont="1" applyBorder="1" applyAlignment="1">
      <alignment horizontal="center"/>
    </xf>
    <xf numFmtId="0" fontId="1" fillId="0" borderId="0" xfId="0" quotePrefix="1" applyFont="1" applyAlignment="1">
      <alignment horizontal="center"/>
    </xf>
    <xf numFmtId="0" fontId="1" fillId="10" borderId="4" xfId="0" applyFont="1" applyFill="1" applyBorder="1"/>
    <xf numFmtId="0" fontId="1" fillId="10" borderId="5" xfId="0" applyFont="1" applyFill="1" applyBorder="1"/>
    <xf numFmtId="0" fontId="1" fillId="10" borderId="6" xfId="0" applyFont="1" applyFill="1" applyBorder="1"/>
    <xf numFmtId="0" fontId="1" fillId="10" borderId="7" xfId="0" applyFont="1" applyFill="1" applyBorder="1"/>
    <xf numFmtId="0" fontId="1" fillId="10" borderId="8" xfId="0" applyFont="1" applyFill="1" applyBorder="1"/>
    <xf numFmtId="0" fontId="1" fillId="10" borderId="9" xfId="0" applyFont="1" applyFill="1" applyBorder="1"/>
    <xf numFmtId="0" fontId="1" fillId="10" borderId="10" xfId="0" applyFont="1" applyFill="1" applyBorder="1"/>
    <xf numFmtId="0" fontId="1" fillId="10" borderId="11" xfId="0" applyFont="1" applyFill="1" applyBorder="1"/>
    <xf numFmtId="14" fontId="31" fillId="10" borderId="0" xfId="0" applyNumberFormat="1" applyFont="1" applyFill="1"/>
    <xf numFmtId="0" fontId="35" fillId="0" borderId="25" xfId="0" applyFont="1" applyBorder="1"/>
    <xf numFmtId="0" fontId="35" fillId="0" borderId="12" xfId="0" applyFont="1" applyBorder="1"/>
    <xf numFmtId="3" fontId="35" fillId="0" borderId="12" xfId="0" applyNumberFormat="1" applyFont="1" applyBorder="1"/>
    <xf numFmtId="0" fontId="35" fillId="0" borderId="26" xfId="0" applyFont="1" applyBorder="1"/>
    <xf numFmtId="0" fontId="35" fillId="0" borderId="27" xfId="0" applyFont="1" applyBorder="1"/>
    <xf numFmtId="0" fontId="35" fillId="0" borderId="0" xfId="0" applyFont="1"/>
    <xf numFmtId="3" fontId="35" fillId="0" borderId="0" xfId="0" applyNumberFormat="1" applyFont="1"/>
    <xf numFmtId="0" fontId="35" fillId="0" borderId="28" xfId="0" applyFont="1" applyBorder="1"/>
    <xf numFmtId="0" fontId="35" fillId="0" borderId="29" xfId="0" applyFont="1" applyBorder="1"/>
    <xf numFmtId="0" fontId="35" fillId="0" borderId="1" xfId="0" applyFont="1" applyBorder="1"/>
    <xf numFmtId="3" fontId="35" fillId="0" borderId="1" xfId="0" applyNumberFormat="1" applyFont="1" applyBorder="1"/>
    <xf numFmtId="0" fontId="35" fillId="0" borderId="30" xfId="0" applyFont="1" applyBorder="1"/>
    <xf numFmtId="3" fontId="1" fillId="0" borderId="0" xfId="0" applyNumberFormat="1" applyFont="1" applyAlignment="1">
      <alignment horizontal="left"/>
    </xf>
    <xf numFmtId="0" fontId="2" fillId="2" borderId="0" xfId="0" applyFont="1" applyFill="1" applyAlignment="1">
      <alignment horizontal="left"/>
    </xf>
    <xf numFmtId="3" fontId="2" fillId="2" borderId="0" xfId="0" applyNumberFormat="1" applyFont="1" applyFill="1"/>
    <xf numFmtId="14" fontId="37" fillId="0" borderId="0" xfId="0" applyNumberFormat="1" applyFont="1"/>
    <xf numFmtId="0" fontId="37" fillId="0" borderId="0" xfId="0" applyFont="1"/>
    <xf numFmtId="0" fontId="37" fillId="0" borderId="0" xfId="0" applyFont="1" applyAlignment="1">
      <alignment horizontal="center"/>
    </xf>
    <xf numFmtId="0" fontId="2" fillId="0" borderId="1" xfId="0" applyFont="1" applyBorder="1"/>
    <xf numFmtId="0" fontId="12" fillId="2" borderId="0" xfId="0" applyFont="1" applyFill="1" applyAlignment="1">
      <alignment horizontal="center"/>
    </xf>
    <xf numFmtId="3" fontId="2" fillId="0" borderId="3" xfId="0" applyNumberFormat="1" applyFont="1" applyBorder="1"/>
    <xf numFmtId="14" fontId="2" fillId="8" borderId="0" xfId="0" applyNumberFormat="1" applyFont="1" applyFill="1"/>
    <xf numFmtId="0" fontId="2" fillId="8" borderId="0" xfId="0" applyFont="1" applyFill="1"/>
    <xf numFmtId="3" fontId="1" fillId="0" borderId="5" xfId="0" applyNumberFormat="1" applyFont="1" applyBorder="1"/>
    <xf numFmtId="37" fontId="1" fillId="0" borderId="10" xfId="0" applyNumberFormat="1" applyFont="1" applyBorder="1" applyAlignment="1">
      <alignment horizontal="center"/>
    </xf>
    <xf numFmtId="14" fontId="2" fillId="0" borderId="1" xfId="0" applyNumberFormat="1" applyFont="1" applyBorder="1" applyAlignment="1">
      <alignment horizontal="center"/>
    </xf>
    <xf numFmtId="37" fontId="1" fillId="0" borderId="10" xfId="0" applyNumberFormat="1" applyFont="1" applyBorder="1"/>
    <xf numFmtId="3" fontId="10" fillId="9" borderId="0" xfId="0" applyNumberFormat="1" applyFont="1" applyFill="1"/>
    <xf numFmtId="0" fontId="1" fillId="0" borderId="5" xfId="0" applyFont="1" applyBorder="1" applyAlignment="1">
      <alignment horizontal="center"/>
    </xf>
    <xf numFmtId="0" fontId="1" fillId="0" borderId="6" xfId="0" applyFont="1" applyBorder="1" applyAlignment="1">
      <alignment horizontal="center"/>
    </xf>
    <xf numFmtId="37" fontId="1" fillId="0" borderId="8" xfId="0" applyNumberFormat="1" applyFont="1" applyBorder="1" applyAlignment="1">
      <alignment horizontal="center"/>
    </xf>
    <xf numFmtId="14" fontId="2" fillId="0" borderId="0" xfId="0" applyNumberFormat="1" applyFont="1" applyAlignment="1">
      <alignment horizontal="center"/>
    </xf>
    <xf numFmtId="37" fontId="1" fillId="20" borderId="0" xfId="0" applyNumberFormat="1" applyFont="1" applyFill="1" applyAlignment="1">
      <alignment horizontal="center"/>
    </xf>
    <xf numFmtId="0" fontId="1" fillId="20" borderId="0" xfId="0" applyFont="1" applyFill="1"/>
    <xf numFmtId="14" fontId="2" fillId="0" borderId="8" xfId="0" applyNumberFormat="1" applyFont="1" applyBorder="1" applyAlignment="1">
      <alignment horizontal="center"/>
    </xf>
    <xf numFmtId="0" fontId="1" fillId="20" borderId="8" xfId="0" applyFont="1" applyFill="1" applyBorder="1"/>
    <xf numFmtId="0" fontId="1" fillId="0" borderId="7" xfId="0" applyFont="1" applyBorder="1" applyAlignment="1">
      <alignment horizontal="center"/>
    </xf>
    <xf numFmtId="37" fontId="1" fillId="0" borderId="7" xfId="0" applyNumberFormat="1" applyFont="1" applyBorder="1" applyAlignment="1">
      <alignment horizontal="center"/>
    </xf>
    <xf numFmtId="3" fontId="1" fillId="0" borderId="10" xfId="0" applyNumberFormat="1" applyFont="1" applyBorder="1" applyAlignment="1">
      <alignment horizontal="center"/>
    </xf>
    <xf numFmtId="0" fontId="9" fillId="0" borderId="8" xfId="0" applyFont="1" applyBorder="1"/>
    <xf numFmtId="0" fontId="9" fillId="0" borderId="10" xfId="0" applyFont="1" applyBorder="1"/>
    <xf numFmtId="0" fontId="9" fillId="0" borderId="11" xfId="0" applyFont="1" applyBorder="1"/>
    <xf numFmtId="0" fontId="38" fillId="0" borderId="4" xfId="0" applyFont="1" applyBorder="1" applyAlignment="1">
      <alignment vertical="top"/>
    </xf>
    <xf numFmtId="0" fontId="38" fillId="0" borderId="5" xfId="0" applyFont="1" applyBorder="1" applyAlignment="1">
      <alignment vertical="top"/>
    </xf>
    <xf numFmtId="0" fontId="38" fillId="0" borderId="6" xfId="0" applyFont="1" applyBorder="1" applyAlignment="1">
      <alignment vertical="top"/>
    </xf>
    <xf numFmtId="0" fontId="9" fillId="0" borderId="5" xfId="0" applyFont="1" applyBorder="1"/>
    <xf numFmtId="0" fontId="9" fillId="0" borderId="6" xfId="0" applyFont="1" applyBorder="1"/>
    <xf numFmtId="0" fontId="5" fillId="14" borderId="4" xfId="0" applyFont="1" applyFill="1" applyBorder="1"/>
    <xf numFmtId="0" fontId="7" fillId="14" borderId="5" xfId="0" applyFont="1" applyFill="1" applyBorder="1"/>
    <xf numFmtId="0" fontId="5" fillId="14" borderId="0" xfId="0" applyFont="1" applyFill="1"/>
    <xf numFmtId="0" fontId="40" fillId="0" borderId="0" xfId="0" applyFont="1"/>
    <xf numFmtId="0" fontId="1" fillId="21" borderId="4" xfId="0" applyFont="1" applyFill="1" applyBorder="1"/>
    <xf numFmtId="0" fontId="1" fillId="21" borderId="5" xfId="0" applyFont="1" applyFill="1" applyBorder="1"/>
    <xf numFmtId="0" fontId="1" fillId="21" borderId="6" xfId="0" applyFont="1" applyFill="1" applyBorder="1"/>
    <xf numFmtId="0" fontId="2" fillId="0" borderId="1" xfId="0" applyFont="1" applyBorder="1" applyAlignment="1">
      <alignment horizontal="center"/>
    </xf>
    <xf numFmtId="0" fontId="41" fillId="0" borderId="0" xfId="0" applyFont="1"/>
    <xf numFmtId="3" fontId="5" fillId="2" borderId="15" xfId="0" applyNumberFormat="1" applyFont="1" applyFill="1" applyBorder="1" applyAlignment="1">
      <alignment horizontal="center"/>
    </xf>
    <xf numFmtId="0" fontId="42" fillId="0" borderId="0" xfId="0" applyFont="1"/>
    <xf numFmtId="0" fontId="43" fillId="0" borderId="0" xfId="0" applyFont="1"/>
    <xf numFmtId="37" fontId="5" fillId="2" borderId="0" xfId="0" applyNumberFormat="1" applyFont="1" applyFill="1" applyAlignment="1">
      <alignment horizontal="center"/>
    </xf>
    <xf numFmtId="37" fontId="10" fillId="2" borderId="0" xfId="0" applyNumberFormat="1" applyFont="1" applyFill="1" applyAlignment="1">
      <alignment horizontal="center"/>
    </xf>
    <xf numFmtId="37" fontId="10" fillId="0" borderId="3" xfId="0" applyNumberFormat="1" applyFont="1" applyBorder="1" applyAlignment="1">
      <alignment horizontal="center"/>
    </xf>
    <xf numFmtId="43" fontId="1" fillId="0" borderId="0" xfId="1" applyFont="1"/>
    <xf numFmtId="169" fontId="1" fillId="0" borderId="0" xfId="0" applyNumberFormat="1" applyFont="1"/>
    <xf numFmtId="9" fontId="1" fillId="0" borderId="0" xfId="3" applyFont="1" applyAlignment="1">
      <alignment horizontal="center"/>
    </xf>
    <xf numFmtId="14" fontId="1" fillId="0" borderId="31" xfId="0" applyNumberFormat="1" applyFont="1" applyBorder="1" applyAlignment="1">
      <alignment horizontal="center"/>
    </xf>
    <xf numFmtId="37" fontId="1" fillId="0" borderId="22" xfId="0" applyNumberFormat="1" applyFont="1" applyBorder="1" applyAlignment="1">
      <alignment horizontal="center"/>
    </xf>
    <xf numFmtId="37" fontId="1" fillId="0" borderId="22" xfId="0" applyNumberFormat="1" applyFont="1" applyBorder="1"/>
    <xf numFmtId="37" fontId="1" fillId="20" borderId="22" xfId="0" applyNumberFormat="1" applyFont="1" applyFill="1" applyBorder="1" applyAlignment="1">
      <alignment horizontal="center"/>
    </xf>
    <xf numFmtId="37" fontId="1" fillId="6" borderId="21" xfId="0" applyNumberFormat="1" applyFont="1" applyFill="1" applyBorder="1" applyAlignment="1">
      <alignment horizontal="center"/>
    </xf>
    <xf numFmtId="37" fontId="1" fillId="0" borderId="21" xfId="0" applyNumberFormat="1" applyFont="1" applyBorder="1" applyAlignment="1">
      <alignment horizontal="center"/>
    </xf>
    <xf numFmtId="8" fontId="1" fillId="0" borderId="0" xfId="0" applyNumberFormat="1" applyFont="1"/>
    <xf numFmtId="0" fontId="1" fillId="0" borderId="0" xfId="0" applyFont="1" applyAlignment="1">
      <alignment horizontal="center"/>
    </xf>
    <xf numFmtId="0" fontId="10" fillId="0" borderId="0" xfId="0" applyFont="1" applyAlignment="1">
      <alignment horizontal="right"/>
    </xf>
    <xf numFmtId="0" fontId="2" fillId="2" borderId="0" xfId="0" applyFont="1" applyFill="1" applyAlignment="1">
      <alignment horizontal="center"/>
    </xf>
    <xf numFmtId="0" fontId="1" fillId="0" borderId="12"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0" fillId="0" borderId="7" xfId="0" applyFont="1" applyBorder="1" applyAlignment="1">
      <alignment horizontal="center" vertical="center"/>
    </xf>
    <xf numFmtId="0" fontId="10" fillId="0" borderId="0" xfId="0" applyFont="1" applyAlignment="1">
      <alignment horizontal="center" vertical="center"/>
    </xf>
    <xf numFmtId="0" fontId="10" fillId="0" borderId="8" xfId="0" applyFont="1" applyBorder="1" applyAlignment="1">
      <alignment horizontal="center" vertical="center"/>
    </xf>
    <xf numFmtId="0" fontId="10" fillId="0" borderId="9" xfId="0" applyFont="1" applyBorder="1" applyAlignment="1">
      <alignment horizontal="center" vertical="center"/>
    </xf>
    <xf numFmtId="0" fontId="10" fillId="0" borderId="10" xfId="0" applyFont="1" applyBorder="1" applyAlignment="1">
      <alignment horizontal="center" vertical="center"/>
    </xf>
    <xf numFmtId="0" fontId="10" fillId="0" borderId="11" xfId="0" applyFont="1" applyBorder="1" applyAlignment="1">
      <alignment horizontal="center" vertical="center"/>
    </xf>
    <xf numFmtId="0" fontId="10" fillId="0" borderId="4" xfId="0" applyFont="1" applyBorder="1" applyAlignment="1">
      <alignment horizontal="center"/>
    </xf>
    <xf numFmtId="0" fontId="10" fillId="0" borderId="5" xfId="0" applyFont="1" applyBorder="1" applyAlignment="1">
      <alignment horizontal="center"/>
    </xf>
    <xf numFmtId="0" fontId="10" fillId="0" borderId="6" xfId="0" applyFont="1" applyBorder="1" applyAlignment="1">
      <alignment horizontal="center"/>
    </xf>
    <xf numFmtId="0" fontId="10" fillId="0" borderId="9" xfId="0" applyFont="1" applyBorder="1" applyAlignment="1">
      <alignment horizontal="center"/>
    </xf>
    <xf numFmtId="0" fontId="10" fillId="0" borderId="10" xfId="0" applyFont="1" applyBorder="1" applyAlignment="1">
      <alignment horizontal="center"/>
    </xf>
    <xf numFmtId="0" fontId="10" fillId="0" borderId="11" xfId="0" applyFont="1" applyBorder="1" applyAlignment="1">
      <alignment horizontal="center"/>
    </xf>
    <xf numFmtId="0" fontId="10" fillId="0" borderId="4" xfId="0" applyFont="1" applyBorder="1" applyAlignment="1">
      <alignment horizontal="center" vertical="center"/>
    </xf>
    <xf numFmtId="0" fontId="10" fillId="0" borderId="5" xfId="0" applyFont="1" applyBorder="1" applyAlignment="1">
      <alignment horizontal="center" vertical="center"/>
    </xf>
    <xf numFmtId="0" fontId="10" fillId="0" borderId="6" xfId="0" applyFont="1" applyBorder="1" applyAlignment="1">
      <alignment horizontal="center" vertical="center"/>
    </xf>
    <xf numFmtId="0" fontId="39" fillId="2" borderId="0" xfId="0" applyFont="1" applyFill="1" applyAlignment="1">
      <alignment horizontal="center"/>
    </xf>
    <xf numFmtId="0" fontId="12" fillId="2" borderId="0" xfId="0" applyFont="1" applyFill="1" applyAlignment="1">
      <alignment horizontal="center"/>
    </xf>
    <xf numFmtId="0" fontId="38" fillId="0" borderId="4" xfId="0" applyFont="1" applyBorder="1" applyAlignment="1">
      <alignment horizontal="right" vertical="top"/>
    </xf>
    <xf numFmtId="0" fontId="38" fillId="0" borderId="5" xfId="0" applyFont="1" applyBorder="1" applyAlignment="1">
      <alignment horizontal="right" vertical="top"/>
    </xf>
    <xf numFmtId="0" fontId="38" fillId="0" borderId="6" xfId="0" applyFont="1" applyBorder="1" applyAlignment="1">
      <alignment horizontal="right" vertical="top"/>
    </xf>
    <xf numFmtId="0" fontId="1" fillId="2" borderId="10" xfId="0" applyFont="1" applyFill="1" applyBorder="1" applyAlignment="1">
      <alignment horizontal="center"/>
    </xf>
    <xf numFmtId="0" fontId="1" fillId="7" borderId="10" xfId="0" applyFont="1" applyFill="1" applyBorder="1" applyAlignment="1">
      <alignment horizontal="center"/>
    </xf>
    <xf numFmtId="0" fontId="20" fillId="13" borderId="0" xfId="0" applyFont="1" applyFill="1" applyAlignment="1">
      <alignment horizontal="center" readingOrder="2"/>
    </xf>
  </cellXfs>
  <cellStyles count="4">
    <cellStyle name="Comma" xfId="1" builtinId="3"/>
    <cellStyle name="Hyperlink" xfId="2" builtinId="8"/>
    <cellStyle name="Normal" xfId="0" builtinId="0"/>
    <cellStyle name="Percent" xfId="3" builtinId="5"/>
  </cellStyles>
  <dxfs count="0"/>
  <tableStyles count="0" defaultTableStyle="TableStyleMedium2" defaultPivotStyle="PivotStyleLight16"/>
  <colors>
    <mruColors>
      <color rgb="FFFF7E79"/>
      <color rgb="FFFF8AD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image" Target="../media/image7.jpe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5" Type="http://schemas.openxmlformats.org/officeDocument/2006/relationships/image" Target="../media/image77.png"/><Relationship Id="rId4" Type="http://schemas.openxmlformats.org/officeDocument/2006/relationships/image" Target="../media/image76.png"/></Relationships>
</file>

<file path=xl/drawings/_rels/drawing2.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3.xml.rels><?xml version="1.0" encoding="UTF-8" standalone="yes"?>
<Relationships xmlns="http://schemas.openxmlformats.org/package/2006/relationships"><Relationship Id="rId3" Type="http://schemas.openxmlformats.org/officeDocument/2006/relationships/image" Target="../media/image18.jpeg"/><Relationship Id="rId2" Type="http://schemas.openxmlformats.org/officeDocument/2006/relationships/image" Target="../media/image17.jpeg"/><Relationship Id="rId1" Type="http://schemas.openxmlformats.org/officeDocument/2006/relationships/image" Target="../media/image16.jpeg"/><Relationship Id="rId5" Type="http://schemas.openxmlformats.org/officeDocument/2006/relationships/image" Target="../media/image20.png"/><Relationship Id="rId4" Type="http://schemas.openxmlformats.org/officeDocument/2006/relationships/image" Target="../media/image19.jpeg"/></Relationships>
</file>

<file path=xl/drawings/_rels/drawing4.xml.rels><?xml version="1.0" encoding="UTF-8" standalone="yes"?>
<Relationships xmlns="http://schemas.openxmlformats.org/package/2006/relationships"><Relationship Id="rId8" Type="http://schemas.openxmlformats.org/officeDocument/2006/relationships/image" Target="../media/image28.jpeg"/><Relationship Id="rId13" Type="http://schemas.openxmlformats.org/officeDocument/2006/relationships/image" Target="../media/image33.png"/><Relationship Id="rId3" Type="http://schemas.openxmlformats.org/officeDocument/2006/relationships/image" Target="../media/image23.jpeg"/><Relationship Id="rId7" Type="http://schemas.openxmlformats.org/officeDocument/2006/relationships/image" Target="../media/image27.jpeg"/><Relationship Id="rId12" Type="http://schemas.openxmlformats.org/officeDocument/2006/relationships/image" Target="../media/image32.png"/><Relationship Id="rId2" Type="http://schemas.openxmlformats.org/officeDocument/2006/relationships/image" Target="../media/image22.jpe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jpeg"/><Relationship Id="rId5" Type="http://schemas.openxmlformats.org/officeDocument/2006/relationships/image" Target="../media/image25.jpeg"/><Relationship Id="rId10" Type="http://schemas.openxmlformats.org/officeDocument/2006/relationships/image" Target="../media/image30.jpe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_rels/drawing5.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0.jpeg"/><Relationship Id="rId7" Type="http://schemas.openxmlformats.org/officeDocument/2006/relationships/image" Target="../media/image37.png"/><Relationship Id="rId2" Type="http://schemas.openxmlformats.org/officeDocument/2006/relationships/image" Target="../media/image34.png"/><Relationship Id="rId1" Type="http://schemas.openxmlformats.org/officeDocument/2006/relationships/image" Target="../media/image35.png"/><Relationship Id="rId6" Type="http://schemas.openxmlformats.org/officeDocument/2006/relationships/image" Target="../media/image36.png"/><Relationship Id="rId5" Type="http://schemas.openxmlformats.org/officeDocument/2006/relationships/image" Target="../media/image32.png"/><Relationship Id="rId4" Type="http://schemas.openxmlformats.org/officeDocument/2006/relationships/image" Target="../media/image31.jpeg"/></Relationships>
</file>

<file path=xl/drawings/_rels/drawing6.xml.rels><?xml version="1.0" encoding="UTF-8" standalone="yes"?>
<Relationships xmlns="http://schemas.openxmlformats.org/package/2006/relationships"><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7.xml.rels><?xml version="1.0" encoding="UTF-8" standalone="yes"?>
<Relationships xmlns="http://schemas.openxmlformats.org/package/2006/relationships"><Relationship Id="rId8" Type="http://schemas.openxmlformats.org/officeDocument/2006/relationships/image" Target="../media/image53.emf"/><Relationship Id="rId3" Type="http://schemas.openxmlformats.org/officeDocument/2006/relationships/image" Target="../media/image48.jpe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4.png"/></Relationships>
</file>

<file path=xl/drawings/_rels/drawing8.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5.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46.png"/><Relationship Id="rId5" Type="http://schemas.openxmlformats.org/officeDocument/2006/relationships/image" Target="../media/image5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7.png"/></Relationships>
</file>

<file path=xl/drawings/_rels/drawing9.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70.png"/><Relationship Id="rId7" Type="http://schemas.openxmlformats.org/officeDocument/2006/relationships/image" Target="../media/image65.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46.png"/><Relationship Id="rId5" Type="http://schemas.openxmlformats.org/officeDocument/2006/relationships/image" Target="../media/image72.png"/><Relationship Id="rId4" Type="http://schemas.openxmlformats.org/officeDocument/2006/relationships/image" Target="../media/image71.png"/><Relationship Id="rId9"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xdr:from>
      <xdr:col>1</xdr:col>
      <xdr:colOff>451970</xdr:colOff>
      <xdr:row>51</xdr:row>
      <xdr:rowOff>130735</xdr:rowOff>
    </xdr:from>
    <xdr:to>
      <xdr:col>6</xdr:col>
      <xdr:colOff>410882</xdr:colOff>
      <xdr:row>51</xdr:row>
      <xdr:rowOff>134470</xdr:rowOff>
    </xdr:to>
    <xdr:cxnSp macro="">
      <xdr:nvCxnSpPr>
        <xdr:cNvPr id="3" name="Straight Arrow Connector 2">
          <a:extLst>
            <a:ext uri="{FF2B5EF4-FFF2-40B4-BE49-F238E27FC236}">
              <a16:creationId xmlns:a16="http://schemas.microsoft.com/office/drawing/2014/main" id="{9DB107CC-92C6-DB29-EE19-112154A122FB}"/>
            </a:ext>
          </a:extLst>
        </xdr:cNvPr>
        <xdr:cNvCxnSpPr/>
      </xdr:nvCxnSpPr>
      <xdr:spPr>
        <a:xfrm flipV="1">
          <a:off x="13519654265" y="7190441"/>
          <a:ext cx="4112559" cy="3735"/>
        </a:xfrm>
        <a:prstGeom prst="straightConnector1">
          <a:avLst/>
        </a:prstGeom>
        <a:ln w="9525" cap="flat" cmpd="sng" algn="ctr">
          <a:solidFill>
            <a:schemeClr val="dk1"/>
          </a:solidFill>
          <a:prstDash val="solid"/>
          <a:round/>
          <a:headEnd type="arrow"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164353</xdr:colOff>
      <xdr:row>51</xdr:row>
      <xdr:rowOff>14941</xdr:rowOff>
    </xdr:from>
    <xdr:to>
      <xdr:col>2</xdr:col>
      <xdr:colOff>164353</xdr:colOff>
      <xdr:row>52</xdr:row>
      <xdr:rowOff>22412</xdr:rowOff>
    </xdr:to>
    <xdr:cxnSp macro="">
      <xdr:nvCxnSpPr>
        <xdr:cNvPr id="5" name="Straight Connector 4">
          <a:extLst>
            <a:ext uri="{FF2B5EF4-FFF2-40B4-BE49-F238E27FC236}">
              <a16:creationId xmlns:a16="http://schemas.microsoft.com/office/drawing/2014/main" id="{4ACCA806-51BB-380D-C31A-D39E6AE36198}"/>
            </a:ext>
          </a:extLst>
        </xdr:cNvPr>
        <xdr:cNvCxnSpPr/>
      </xdr:nvCxnSpPr>
      <xdr:spPr>
        <a:xfrm>
          <a:off x="13523228941" y="7074647"/>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115794</xdr:colOff>
      <xdr:row>51</xdr:row>
      <xdr:rowOff>26147</xdr:rowOff>
    </xdr:from>
    <xdr:to>
      <xdr:col>6</xdr:col>
      <xdr:colOff>115794</xdr:colOff>
      <xdr:row>52</xdr:row>
      <xdr:rowOff>33618</xdr:rowOff>
    </xdr:to>
    <xdr:cxnSp macro="">
      <xdr:nvCxnSpPr>
        <xdr:cNvPr id="6" name="Straight Connector 5">
          <a:extLst>
            <a:ext uri="{FF2B5EF4-FFF2-40B4-BE49-F238E27FC236}">
              <a16:creationId xmlns:a16="http://schemas.microsoft.com/office/drawing/2014/main" id="{571C17EF-ECDE-33B9-A1E9-FD89406714C4}"/>
            </a:ext>
          </a:extLst>
        </xdr:cNvPr>
        <xdr:cNvCxnSpPr/>
      </xdr:nvCxnSpPr>
      <xdr:spPr>
        <a:xfrm>
          <a:off x="13519949353" y="7085853"/>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369794</xdr:colOff>
      <xdr:row>51</xdr:row>
      <xdr:rowOff>18676</xdr:rowOff>
    </xdr:from>
    <xdr:to>
      <xdr:col>5</xdr:col>
      <xdr:colOff>369794</xdr:colOff>
      <xdr:row>52</xdr:row>
      <xdr:rowOff>26147</xdr:rowOff>
    </xdr:to>
    <xdr:cxnSp macro="">
      <xdr:nvCxnSpPr>
        <xdr:cNvPr id="7" name="Straight Connector 6">
          <a:extLst>
            <a:ext uri="{FF2B5EF4-FFF2-40B4-BE49-F238E27FC236}">
              <a16:creationId xmlns:a16="http://schemas.microsoft.com/office/drawing/2014/main" id="{0E46F6F3-010A-52AA-BD19-4B7904ABE933}"/>
            </a:ext>
          </a:extLst>
        </xdr:cNvPr>
        <xdr:cNvCxnSpPr/>
      </xdr:nvCxnSpPr>
      <xdr:spPr>
        <a:xfrm>
          <a:off x="13520547000" y="7078382"/>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360455</xdr:colOff>
      <xdr:row>54</xdr:row>
      <xdr:rowOff>24279</xdr:rowOff>
    </xdr:from>
    <xdr:to>
      <xdr:col>6</xdr:col>
      <xdr:colOff>196102</xdr:colOff>
      <xdr:row>54</xdr:row>
      <xdr:rowOff>177426</xdr:rowOff>
    </xdr:to>
    <xdr:sp macro="" textlink="">
      <xdr:nvSpPr>
        <xdr:cNvPr id="8" name="Left Brace 7">
          <a:extLst>
            <a:ext uri="{FF2B5EF4-FFF2-40B4-BE49-F238E27FC236}">
              <a16:creationId xmlns:a16="http://schemas.microsoft.com/office/drawing/2014/main" id="{5FFF4014-75E3-E5B4-FEC3-E57EB1FD72E7}"/>
            </a:ext>
          </a:extLst>
        </xdr:cNvPr>
        <xdr:cNvSpPr/>
      </xdr:nvSpPr>
      <xdr:spPr>
        <a:xfrm rot="16200000">
          <a:off x="13520136118" y="7422030"/>
          <a:ext cx="153147" cy="687294"/>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138206</xdr:colOff>
      <xdr:row>51</xdr:row>
      <xdr:rowOff>37353</xdr:rowOff>
    </xdr:from>
    <xdr:to>
      <xdr:col>3</xdr:col>
      <xdr:colOff>138206</xdr:colOff>
      <xdr:row>52</xdr:row>
      <xdr:rowOff>44824</xdr:rowOff>
    </xdr:to>
    <xdr:cxnSp macro="">
      <xdr:nvCxnSpPr>
        <xdr:cNvPr id="9" name="Straight Connector 8">
          <a:extLst>
            <a:ext uri="{FF2B5EF4-FFF2-40B4-BE49-F238E27FC236}">
              <a16:creationId xmlns:a16="http://schemas.microsoft.com/office/drawing/2014/main" id="{66E2056B-EE4D-FAE2-477B-DF3E2DA258FB}"/>
            </a:ext>
          </a:extLst>
        </xdr:cNvPr>
        <xdr:cNvCxnSpPr/>
      </xdr:nvCxnSpPr>
      <xdr:spPr>
        <a:xfrm>
          <a:off x="13522429588" y="7097059"/>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197971</xdr:colOff>
      <xdr:row>51</xdr:row>
      <xdr:rowOff>22412</xdr:rowOff>
    </xdr:from>
    <xdr:to>
      <xdr:col>4</xdr:col>
      <xdr:colOff>197971</xdr:colOff>
      <xdr:row>52</xdr:row>
      <xdr:rowOff>29883</xdr:rowOff>
    </xdr:to>
    <xdr:cxnSp macro="">
      <xdr:nvCxnSpPr>
        <xdr:cNvPr id="10" name="Straight Connector 9">
          <a:extLst>
            <a:ext uri="{FF2B5EF4-FFF2-40B4-BE49-F238E27FC236}">
              <a16:creationId xmlns:a16="http://schemas.microsoft.com/office/drawing/2014/main" id="{E7DE7409-A8EE-3FA3-2DFA-35CE9A4D417A}"/>
            </a:ext>
          </a:extLst>
        </xdr:cNvPr>
        <xdr:cNvCxnSpPr/>
      </xdr:nvCxnSpPr>
      <xdr:spPr>
        <a:xfrm>
          <a:off x="13521544323" y="7082118"/>
          <a:ext cx="0" cy="20917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108320</xdr:colOff>
      <xdr:row>56</xdr:row>
      <xdr:rowOff>192369</xdr:rowOff>
    </xdr:from>
    <xdr:to>
      <xdr:col>4</xdr:col>
      <xdr:colOff>506130</xdr:colOff>
      <xdr:row>57</xdr:row>
      <xdr:rowOff>130735</xdr:rowOff>
    </xdr:to>
    <xdr:sp macro="" textlink="">
      <xdr:nvSpPr>
        <xdr:cNvPr id="11" name="Left Brace 10">
          <a:extLst>
            <a:ext uri="{FF2B5EF4-FFF2-40B4-BE49-F238E27FC236}">
              <a16:creationId xmlns:a16="http://schemas.microsoft.com/office/drawing/2014/main" id="{32ECEFF5-6442-EA43-8589-881DEBD00C5E}"/>
            </a:ext>
          </a:extLst>
        </xdr:cNvPr>
        <xdr:cNvSpPr/>
      </xdr:nvSpPr>
      <xdr:spPr>
        <a:xfrm rot="16200000">
          <a:off x="13522190533" y="7306235"/>
          <a:ext cx="140072" cy="204881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173182</xdr:colOff>
      <xdr:row>66</xdr:row>
      <xdr:rowOff>30147</xdr:rowOff>
    </xdr:from>
    <xdr:to>
      <xdr:col>2</xdr:col>
      <xdr:colOff>560797</xdr:colOff>
      <xdr:row>68</xdr:row>
      <xdr:rowOff>35277</xdr:rowOff>
    </xdr:to>
    <xdr:cxnSp macro="">
      <xdr:nvCxnSpPr>
        <xdr:cNvPr id="13" name="Straight Arrow Connector 12">
          <a:extLst>
            <a:ext uri="{FF2B5EF4-FFF2-40B4-BE49-F238E27FC236}">
              <a16:creationId xmlns:a16="http://schemas.microsoft.com/office/drawing/2014/main" id="{5ECAE244-1D72-8196-2C7E-A3BE4BAB96F5}"/>
            </a:ext>
          </a:extLst>
        </xdr:cNvPr>
        <xdr:cNvCxnSpPr/>
      </xdr:nvCxnSpPr>
      <xdr:spPr>
        <a:xfrm>
          <a:off x="13501982991" y="12444718"/>
          <a:ext cx="387615" cy="40922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246062</xdr:colOff>
      <xdr:row>70</xdr:row>
      <xdr:rowOff>19843</xdr:rowOff>
    </xdr:from>
    <xdr:to>
      <xdr:col>2</xdr:col>
      <xdr:colOff>246062</xdr:colOff>
      <xdr:row>71</xdr:row>
      <xdr:rowOff>15875</xdr:rowOff>
    </xdr:to>
    <xdr:cxnSp macro="">
      <xdr:nvCxnSpPr>
        <xdr:cNvPr id="14" name="Straight Arrow Connector 13">
          <a:extLst>
            <a:ext uri="{FF2B5EF4-FFF2-40B4-BE49-F238E27FC236}">
              <a16:creationId xmlns:a16="http://schemas.microsoft.com/office/drawing/2014/main" id="{85744F41-6B3D-1F26-7F90-6081799AB250}"/>
            </a:ext>
          </a:extLst>
        </xdr:cNvPr>
        <xdr:cNvCxnSpPr/>
      </xdr:nvCxnSpPr>
      <xdr:spPr>
        <a:xfrm>
          <a:off x="13523142563" y="10949781"/>
          <a:ext cx="0" cy="19843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257968</xdr:colOff>
      <xdr:row>74</xdr:row>
      <xdr:rowOff>190499</xdr:rowOff>
    </xdr:from>
    <xdr:to>
      <xdr:col>2</xdr:col>
      <xdr:colOff>257968</xdr:colOff>
      <xdr:row>75</xdr:row>
      <xdr:rowOff>186531</xdr:rowOff>
    </xdr:to>
    <xdr:cxnSp macro="">
      <xdr:nvCxnSpPr>
        <xdr:cNvPr id="16" name="Straight Arrow Connector 15">
          <a:extLst>
            <a:ext uri="{FF2B5EF4-FFF2-40B4-BE49-F238E27FC236}">
              <a16:creationId xmlns:a16="http://schemas.microsoft.com/office/drawing/2014/main" id="{C3C88310-D300-300B-8578-8A2DA87FD330}"/>
            </a:ext>
          </a:extLst>
        </xdr:cNvPr>
        <xdr:cNvCxnSpPr/>
      </xdr:nvCxnSpPr>
      <xdr:spPr>
        <a:xfrm>
          <a:off x="13523130657" y="11930062"/>
          <a:ext cx="0" cy="19843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274355</xdr:colOff>
      <xdr:row>79</xdr:row>
      <xdr:rowOff>10241</xdr:rowOff>
    </xdr:from>
    <xdr:to>
      <xdr:col>2</xdr:col>
      <xdr:colOff>274355</xdr:colOff>
      <xdr:row>80</xdr:row>
      <xdr:rowOff>6274</xdr:rowOff>
    </xdr:to>
    <xdr:cxnSp macro="">
      <xdr:nvCxnSpPr>
        <xdr:cNvPr id="17" name="Straight Arrow Connector 16">
          <a:extLst>
            <a:ext uri="{FF2B5EF4-FFF2-40B4-BE49-F238E27FC236}">
              <a16:creationId xmlns:a16="http://schemas.microsoft.com/office/drawing/2014/main" id="{DD49A1B1-6C77-9D66-FE1D-1FDD7C189352}"/>
            </a:ext>
          </a:extLst>
        </xdr:cNvPr>
        <xdr:cNvCxnSpPr/>
      </xdr:nvCxnSpPr>
      <xdr:spPr>
        <a:xfrm>
          <a:off x="13556672483" y="12915080"/>
          <a:ext cx="0" cy="20087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54520</xdr:colOff>
      <xdr:row>65</xdr:row>
      <xdr:rowOff>198839</xdr:rowOff>
    </xdr:from>
    <xdr:to>
      <xdr:col>4</xdr:col>
      <xdr:colOff>470371</xdr:colOff>
      <xdr:row>67</xdr:row>
      <xdr:rowOff>136408</xdr:rowOff>
    </xdr:to>
    <xdr:cxnSp macro="">
      <xdr:nvCxnSpPr>
        <xdr:cNvPr id="18" name="Straight Arrow Connector 17">
          <a:extLst>
            <a:ext uri="{FF2B5EF4-FFF2-40B4-BE49-F238E27FC236}">
              <a16:creationId xmlns:a16="http://schemas.microsoft.com/office/drawing/2014/main" id="{D2B2FC92-CC48-0FA9-ECCC-ABB27CDAC54D}"/>
            </a:ext>
          </a:extLst>
        </xdr:cNvPr>
        <xdr:cNvCxnSpPr/>
      </xdr:nvCxnSpPr>
      <xdr:spPr>
        <a:xfrm flipH="1">
          <a:off x="13500424982" y="12411364"/>
          <a:ext cx="415851" cy="3416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432741</xdr:colOff>
      <xdr:row>70</xdr:row>
      <xdr:rowOff>183444</xdr:rowOff>
    </xdr:from>
    <xdr:to>
      <xdr:col>4</xdr:col>
      <xdr:colOff>432741</xdr:colOff>
      <xdr:row>72</xdr:row>
      <xdr:rowOff>9407</xdr:rowOff>
    </xdr:to>
    <xdr:cxnSp macro="">
      <xdr:nvCxnSpPr>
        <xdr:cNvPr id="21" name="Straight Arrow Connector 20">
          <a:extLst>
            <a:ext uri="{FF2B5EF4-FFF2-40B4-BE49-F238E27FC236}">
              <a16:creationId xmlns:a16="http://schemas.microsoft.com/office/drawing/2014/main" id="{B526559D-7945-D8AC-D0D5-6B76B01602D6}"/>
            </a:ext>
          </a:extLst>
        </xdr:cNvPr>
        <xdr:cNvCxnSpPr/>
      </xdr:nvCxnSpPr>
      <xdr:spPr>
        <a:xfrm>
          <a:off x="13559827630" y="11105444"/>
          <a:ext cx="0" cy="230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451556</xdr:colOff>
      <xdr:row>74</xdr:row>
      <xdr:rowOff>192851</xdr:rowOff>
    </xdr:from>
    <xdr:to>
      <xdr:col>4</xdr:col>
      <xdr:colOff>451556</xdr:colOff>
      <xdr:row>76</xdr:row>
      <xdr:rowOff>18814</xdr:rowOff>
    </xdr:to>
    <xdr:cxnSp macro="">
      <xdr:nvCxnSpPr>
        <xdr:cNvPr id="24" name="Straight Arrow Connector 23">
          <a:extLst>
            <a:ext uri="{FF2B5EF4-FFF2-40B4-BE49-F238E27FC236}">
              <a16:creationId xmlns:a16="http://schemas.microsoft.com/office/drawing/2014/main" id="{53249807-FDE5-D5B9-D658-FF9CBBE412CA}"/>
            </a:ext>
          </a:extLst>
        </xdr:cNvPr>
        <xdr:cNvCxnSpPr/>
      </xdr:nvCxnSpPr>
      <xdr:spPr>
        <a:xfrm>
          <a:off x="13559808815" y="11923888"/>
          <a:ext cx="0" cy="230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5</xdr:col>
      <xdr:colOff>38484</xdr:colOff>
      <xdr:row>68</xdr:row>
      <xdr:rowOff>11056</xdr:rowOff>
    </xdr:from>
    <xdr:to>
      <xdr:col>6</xdr:col>
      <xdr:colOff>56572</xdr:colOff>
      <xdr:row>70</xdr:row>
      <xdr:rowOff>196529</xdr:rowOff>
    </xdr:to>
    <xdr:pic>
      <xdr:nvPicPr>
        <xdr:cNvPr id="12" name="Picture 11">
          <a:extLst>
            <a:ext uri="{FF2B5EF4-FFF2-40B4-BE49-F238E27FC236}">
              <a16:creationId xmlns:a16="http://schemas.microsoft.com/office/drawing/2014/main" id="{3239185B-5897-58A0-7EC0-093B6AEE2555}"/>
            </a:ext>
          </a:extLst>
        </xdr:cNvPr>
        <xdr:cNvPicPr>
          <a:picLocks noChangeAspect="1"/>
        </xdr:cNvPicPr>
      </xdr:nvPicPr>
      <xdr:blipFill>
        <a:blip xmlns:r="http://schemas.openxmlformats.org/officeDocument/2006/relationships" r:embed="rId1"/>
        <a:stretch>
          <a:fillRect/>
        </a:stretch>
      </xdr:blipFill>
      <xdr:spPr>
        <a:xfrm>
          <a:off x="13499164690" y="12829718"/>
          <a:ext cx="867962" cy="602392"/>
        </a:xfrm>
        <a:prstGeom prst="rect">
          <a:avLst/>
        </a:prstGeom>
      </xdr:spPr>
    </xdr:pic>
    <xdr:clientData/>
  </xdr:twoCellAnchor>
  <xdr:twoCellAnchor>
    <xdr:from>
      <xdr:col>6</xdr:col>
      <xdr:colOff>128282</xdr:colOff>
      <xdr:row>66</xdr:row>
      <xdr:rowOff>166767</xdr:rowOff>
    </xdr:from>
    <xdr:to>
      <xdr:col>7</xdr:col>
      <xdr:colOff>763282</xdr:colOff>
      <xdr:row>72</xdr:row>
      <xdr:rowOff>147526</xdr:rowOff>
    </xdr:to>
    <xdr:sp macro="" textlink="">
      <xdr:nvSpPr>
        <xdr:cNvPr id="15" name="Rounded Rectangular Callout 14">
          <a:extLst>
            <a:ext uri="{FF2B5EF4-FFF2-40B4-BE49-F238E27FC236}">
              <a16:creationId xmlns:a16="http://schemas.microsoft.com/office/drawing/2014/main" id="{8C247E36-29BB-C6CD-6472-79DB95BCBCC2}"/>
            </a:ext>
          </a:extLst>
        </xdr:cNvPr>
        <xdr:cNvSpPr/>
      </xdr:nvSpPr>
      <xdr:spPr>
        <a:xfrm>
          <a:off x="13497633763" y="12581338"/>
          <a:ext cx="1459217" cy="1193031"/>
        </a:xfrm>
        <a:prstGeom prst="wedgeRoundRectCallout">
          <a:avLst>
            <a:gd name="adj1" fmla="val 56310"/>
            <a:gd name="adj2" fmla="val -121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שייקה ובלוניו מעדיפים</a:t>
          </a:r>
          <a:r>
            <a:rPr lang="he-IL" sz="1100" baseline="0"/>
            <a:t> מבחינת הבנה את בסיס השווי ההוגן, וזאת למרות שהתקינה לא מציגה העדפה מסוימת</a:t>
          </a:r>
          <a:endParaRPr lang="en-US" sz="1100"/>
        </a:p>
      </xdr:txBody>
    </xdr:sp>
    <xdr:clientData/>
  </xdr:twoCellAnchor>
  <xdr:twoCellAnchor editAs="oneCell">
    <xdr:from>
      <xdr:col>0</xdr:col>
      <xdr:colOff>474647</xdr:colOff>
      <xdr:row>66</xdr:row>
      <xdr:rowOff>166768</xdr:rowOff>
    </xdr:from>
    <xdr:to>
      <xdr:col>1</xdr:col>
      <xdr:colOff>716611</xdr:colOff>
      <xdr:row>71</xdr:row>
      <xdr:rowOff>86720</xdr:rowOff>
    </xdr:to>
    <xdr:pic>
      <xdr:nvPicPr>
        <xdr:cNvPr id="19" name="Picture 18">
          <a:extLst>
            <a:ext uri="{FF2B5EF4-FFF2-40B4-BE49-F238E27FC236}">
              <a16:creationId xmlns:a16="http://schemas.microsoft.com/office/drawing/2014/main" id="{D287682C-234E-0F6A-E269-ED67E8C8C26B}"/>
            </a:ext>
          </a:extLst>
        </xdr:cNvPr>
        <xdr:cNvPicPr>
          <a:picLocks noChangeAspect="1"/>
        </xdr:cNvPicPr>
      </xdr:nvPicPr>
      <xdr:blipFill>
        <a:blip xmlns:r="http://schemas.openxmlformats.org/officeDocument/2006/relationships" r:embed="rId2"/>
        <a:stretch>
          <a:fillRect/>
        </a:stretch>
      </xdr:blipFill>
      <xdr:spPr>
        <a:xfrm>
          <a:off x="13502651394" y="12581339"/>
          <a:ext cx="1066181" cy="968664"/>
        </a:xfrm>
        <a:prstGeom prst="rect">
          <a:avLst/>
        </a:prstGeom>
      </xdr:spPr>
    </xdr:pic>
    <xdr:clientData/>
  </xdr:twoCellAnchor>
  <xdr:twoCellAnchor>
    <xdr:from>
      <xdr:col>0</xdr:col>
      <xdr:colOff>102627</xdr:colOff>
      <xdr:row>71</xdr:row>
      <xdr:rowOff>186015</xdr:rowOff>
    </xdr:from>
    <xdr:to>
      <xdr:col>1</xdr:col>
      <xdr:colOff>737627</xdr:colOff>
      <xdr:row>76</xdr:row>
      <xdr:rowOff>182808</xdr:rowOff>
    </xdr:to>
    <xdr:sp macro="" textlink="">
      <xdr:nvSpPr>
        <xdr:cNvPr id="20" name="Rounded Rectangular Callout 19">
          <a:extLst>
            <a:ext uri="{FF2B5EF4-FFF2-40B4-BE49-F238E27FC236}">
              <a16:creationId xmlns:a16="http://schemas.microsoft.com/office/drawing/2014/main" id="{CEC7B0AC-1019-F111-F5B3-20F80F3F16E2}"/>
            </a:ext>
          </a:extLst>
        </xdr:cNvPr>
        <xdr:cNvSpPr/>
      </xdr:nvSpPr>
      <xdr:spPr>
        <a:xfrm>
          <a:off x="13502630378" y="13610813"/>
          <a:ext cx="1459217" cy="1007020"/>
        </a:xfrm>
        <a:prstGeom prst="wedgeRoundRectCallout">
          <a:avLst>
            <a:gd name="adj1" fmla="val -8525"/>
            <a:gd name="adj2" fmla="val -67070"/>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אני נקניק! בחרתי למדוד נכס שההטבה ממנו קשורה בקשר חזק לשוויו</a:t>
          </a:r>
          <a:r>
            <a:rPr lang="he-IL" sz="1100" baseline="0"/>
            <a:t> - לפי עלותו</a:t>
          </a:r>
          <a:endParaRPr lang="en-US" sz="1100"/>
        </a:p>
      </xdr:txBody>
    </xdr:sp>
    <xdr:clientData/>
  </xdr:twoCellAnchor>
  <xdr:twoCellAnchor>
    <xdr:from>
      <xdr:col>0</xdr:col>
      <xdr:colOff>461818</xdr:colOff>
      <xdr:row>158</xdr:row>
      <xdr:rowOff>48106</xdr:rowOff>
    </xdr:from>
    <xdr:to>
      <xdr:col>6</xdr:col>
      <xdr:colOff>118661</xdr:colOff>
      <xdr:row>158</xdr:row>
      <xdr:rowOff>51313</xdr:rowOff>
    </xdr:to>
    <xdr:cxnSp macro="">
      <xdr:nvCxnSpPr>
        <xdr:cNvPr id="23" name="Straight Arrow Connector 22">
          <a:extLst>
            <a:ext uri="{FF2B5EF4-FFF2-40B4-BE49-F238E27FC236}">
              <a16:creationId xmlns:a16="http://schemas.microsoft.com/office/drawing/2014/main" id="{B004DC27-9E82-438E-0147-E6D9AEDC9A15}"/>
            </a:ext>
          </a:extLst>
        </xdr:cNvPr>
        <xdr:cNvCxnSpPr/>
      </xdr:nvCxnSpPr>
      <xdr:spPr>
        <a:xfrm flipV="1">
          <a:off x="13499102601" y="30560177"/>
          <a:ext cx="4627803"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155</xdr:row>
      <xdr:rowOff>109040</xdr:rowOff>
    </xdr:from>
    <xdr:to>
      <xdr:col>5</xdr:col>
      <xdr:colOff>365606</xdr:colOff>
      <xdr:row>157</xdr:row>
      <xdr:rowOff>6416</xdr:rowOff>
    </xdr:to>
    <xdr:sp macro="" textlink="">
      <xdr:nvSpPr>
        <xdr:cNvPr id="25" name="Left Brace 24">
          <a:extLst>
            <a:ext uri="{FF2B5EF4-FFF2-40B4-BE49-F238E27FC236}">
              <a16:creationId xmlns:a16="http://schemas.microsoft.com/office/drawing/2014/main" id="{458B3C22-5A3A-FDC7-A1FD-99EA466F8165}"/>
            </a:ext>
          </a:extLst>
        </xdr:cNvPr>
        <xdr:cNvSpPr/>
      </xdr:nvSpPr>
      <xdr:spPr>
        <a:xfrm rot="5400000">
          <a:off x="13501214455" y="29112186"/>
          <a:ext cx="301467" cy="331931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150730</xdr:colOff>
      <xdr:row>158</xdr:row>
      <xdr:rowOff>198838</xdr:rowOff>
    </xdr:from>
    <xdr:to>
      <xdr:col>5</xdr:col>
      <xdr:colOff>368811</xdr:colOff>
      <xdr:row>160</xdr:row>
      <xdr:rowOff>51313</xdr:rowOff>
    </xdr:to>
    <xdr:sp macro="" textlink="">
      <xdr:nvSpPr>
        <xdr:cNvPr id="26" name="Left Brace 25">
          <a:extLst>
            <a:ext uri="{FF2B5EF4-FFF2-40B4-BE49-F238E27FC236}">
              <a16:creationId xmlns:a16="http://schemas.microsoft.com/office/drawing/2014/main" id="{3F2425CE-86D0-232C-1DCA-C4AA1BDFE0C8}"/>
            </a:ext>
          </a:extLst>
        </xdr:cNvPr>
        <xdr:cNvSpPr/>
      </xdr:nvSpPr>
      <xdr:spPr>
        <a:xfrm rot="16200000">
          <a:off x="13500095191" y="30924179"/>
          <a:ext cx="256566" cy="1042298"/>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461818</xdr:colOff>
      <xdr:row>198</xdr:row>
      <xdr:rowOff>48106</xdr:rowOff>
    </xdr:from>
    <xdr:to>
      <xdr:col>6</xdr:col>
      <xdr:colOff>118661</xdr:colOff>
      <xdr:row>198</xdr:row>
      <xdr:rowOff>51313</xdr:rowOff>
    </xdr:to>
    <xdr:cxnSp macro="">
      <xdr:nvCxnSpPr>
        <xdr:cNvPr id="27" name="Straight Arrow Connector 26">
          <a:extLst>
            <a:ext uri="{FF2B5EF4-FFF2-40B4-BE49-F238E27FC236}">
              <a16:creationId xmlns:a16="http://schemas.microsoft.com/office/drawing/2014/main" id="{12DFA3B6-BA69-4945-9439-6938FAB7DB28}"/>
            </a:ext>
          </a:extLst>
        </xdr:cNvPr>
        <xdr:cNvCxnSpPr/>
      </xdr:nvCxnSpPr>
      <xdr:spPr>
        <a:xfrm flipV="1">
          <a:off x="13531929777" y="31184754"/>
          <a:ext cx="4639428"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195</xdr:row>
      <xdr:rowOff>109040</xdr:rowOff>
    </xdr:from>
    <xdr:to>
      <xdr:col>5</xdr:col>
      <xdr:colOff>365606</xdr:colOff>
      <xdr:row>197</xdr:row>
      <xdr:rowOff>6416</xdr:rowOff>
    </xdr:to>
    <xdr:sp macro="" textlink="">
      <xdr:nvSpPr>
        <xdr:cNvPr id="28" name="Left Brace 27">
          <a:extLst>
            <a:ext uri="{FF2B5EF4-FFF2-40B4-BE49-F238E27FC236}">
              <a16:creationId xmlns:a16="http://schemas.microsoft.com/office/drawing/2014/main" id="{8405A15E-7388-8241-85D0-CC78606DB455}"/>
            </a:ext>
          </a:extLst>
        </xdr:cNvPr>
        <xdr:cNvSpPr/>
      </xdr:nvSpPr>
      <xdr:spPr>
        <a:xfrm rot="5400000">
          <a:off x="13534047242" y="29126618"/>
          <a:ext cx="301467" cy="332733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168769</xdr:colOff>
      <xdr:row>198</xdr:row>
      <xdr:rowOff>97815</xdr:rowOff>
    </xdr:from>
    <xdr:to>
      <xdr:col>4</xdr:col>
      <xdr:colOff>386851</xdr:colOff>
      <xdr:row>199</xdr:row>
      <xdr:rowOff>152336</xdr:rowOff>
    </xdr:to>
    <xdr:sp macro="" textlink="">
      <xdr:nvSpPr>
        <xdr:cNvPr id="30" name="Left Brace 29">
          <a:extLst>
            <a:ext uri="{FF2B5EF4-FFF2-40B4-BE49-F238E27FC236}">
              <a16:creationId xmlns:a16="http://schemas.microsoft.com/office/drawing/2014/main" id="{F97198BE-DD85-E8CE-60CB-DAF7A414E656}"/>
            </a:ext>
          </a:extLst>
        </xdr:cNvPr>
        <xdr:cNvSpPr/>
      </xdr:nvSpPr>
      <xdr:spPr>
        <a:xfrm rot="16200000">
          <a:off x="13533733155" y="38922412"/>
          <a:ext cx="256566" cy="1044303"/>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606137</xdr:colOff>
      <xdr:row>218</xdr:row>
      <xdr:rowOff>165966</xdr:rowOff>
    </xdr:from>
    <xdr:to>
      <xdr:col>6</xdr:col>
      <xdr:colOff>93807</xdr:colOff>
      <xdr:row>220</xdr:row>
      <xdr:rowOff>64943</xdr:rowOff>
    </xdr:to>
    <xdr:cxnSp macro="">
      <xdr:nvCxnSpPr>
        <xdr:cNvPr id="32" name="Straight Arrow Connector 31">
          <a:extLst>
            <a:ext uri="{FF2B5EF4-FFF2-40B4-BE49-F238E27FC236}">
              <a16:creationId xmlns:a16="http://schemas.microsoft.com/office/drawing/2014/main" id="{8E59A5DC-1917-7193-FB03-959F72F4075D}"/>
            </a:ext>
          </a:extLst>
        </xdr:cNvPr>
        <xdr:cNvCxnSpPr/>
      </xdr:nvCxnSpPr>
      <xdr:spPr>
        <a:xfrm flipH="1">
          <a:off x="13531954631" y="43439773"/>
          <a:ext cx="339147" cy="3030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739631</xdr:colOff>
      <xdr:row>219</xdr:row>
      <xdr:rowOff>21649</xdr:rowOff>
    </xdr:from>
    <xdr:to>
      <xdr:col>5</xdr:col>
      <xdr:colOff>147926</xdr:colOff>
      <xdr:row>222</xdr:row>
      <xdr:rowOff>7216</xdr:rowOff>
    </xdr:to>
    <xdr:cxnSp macro="">
      <xdr:nvCxnSpPr>
        <xdr:cNvPr id="33" name="Straight Arrow Connector 32">
          <a:extLst>
            <a:ext uri="{FF2B5EF4-FFF2-40B4-BE49-F238E27FC236}">
              <a16:creationId xmlns:a16="http://schemas.microsoft.com/office/drawing/2014/main" id="{0726A0A3-0977-88F3-3E0C-47742FBCFF0C}"/>
            </a:ext>
          </a:extLst>
        </xdr:cNvPr>
        <xdr:cNvCxnSpPr/>
      </xdr:nvCxnSpPr>
      <xdr:spPr>
        <a:xfrm flipH="1">
          <a:off x="13532751989" y="43497501"/>
          <a:ext cx="234517" cy="6061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461818</xdr:colOff>
      <xdr:row>246</xdr:row>
      <xdr:rowOff>48106</xdr:rowOff>
    </xdr:from>
    <xdr:to>
      <xdr:col>6</xdr:col>
      <xdr:colOff>118661</xdr:colOff>
      <xdr:row>246</xdr:row>
      <xdr:rowOff>51313</xdr:rowOff>
    </xdr:to>
    <xdr:cxnSp macro="">
      <xdr:nvCxnSpPr>
        <xdr:cNvPr id="35" name="Straight Arrow Connector 34">
          <a:extLst>
            <a:ext uri="{FF2B5EF4-FFF2-40B4-BE49-F238E27FC236}">
              <a16:creationId xmlns:a16="http://schemas.microsoft.com/office/drawing/2014/main" id="{FEC697FA-64C0-864B-8CFC-38D7EBC8A706}"/>
            </a:ext>
          </a:extLst>
        </xdr:cNvPr>
        <xdr:cNvCxnSpPr/>
      </xdr:nvCxnSpPr>
      <xdr:spPr>
        <a:xfrm flipV="1">
          <a:off x="13531929777" y="39266572"/>
          <a:ext cx="4639428" cy="3207"/>
        </a:xfrm>
        <a:prstGeom prst="straightConnector1">
          <a:avLst/>
        </a:prstGeom>
        <a:ln>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1</xdr:col>
      <xdr:colOff>343158</xdr:colOff>
      <xdr:row>243</xdr:row>
      <xdr:rowOff>109040</xdr:rowOff>
    </xdr:from>
    <xdr:to>
      <xdr:col>5</xdr:col>
      <xdr:colOff>365606</xdr:colOff>
      <xdr:row>245</xdr:row>
      <xdr:rowOff>6416</xdr:rowOff>
    </xdr:to>
    <xdr:sp macro="" textlink="">
      <xdr:nvSpPr>
        <xdr:cNvPr id="36" name="Left Brace 35">
          <a:extLst>
            <a:ext uri="{FF2B5EF4-FFF2-40B4-BE49-F238E27FC236}">
              <a16:creationId xmlns:a16="http://schemas.microsoft.com/office/drawing/2014/main" id="{8E7A6FB8-CD3B-5A45-872B-5F3846B4D922}"/>
            </a:ext>
          </a:extLst>
        </xdr:cNvPr>
        <xdr:cNvSpPr/>
      </xdr:nvSpPr>
      <xdr:spPr>
        <a:xfrm rot="5400000">
          <a:off x="13534047243" y="37208436"/>
          <a:ext cx="301466" cy="3327334"/>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519545</xdr:colOff>
      <xdr:row>247</xdr:row>
      <xdr:rowOff>7614</xdr:rowOff>
    </xdr:from>
    <xdr:to>
      <xdr:col>3</xdr:col>
      <xdr:colOff>159549</xdr:colOff>
      <xdr:row>248</xdr:row>
      <xdr:rowOff>32470</xdr:rowOff>
    </xdr:to>
    <xdr:sp macro="" textlink="">
      <xdr:nvSpPr>
        <xdr:cNvPr id="38" name="Left Brace 37">
          <a:extLst>
            <a:ext uri="{FF2B5EF4-FFF2-40B4-BE49-F238E27FC236}">
              <a16:creationId xmlns:a16="http://schemas.microsoft.com/office/drawing/2014/main" id="{E795CB42-BFD9-134E-D4B4-DCA55A968D32}"/>
            </a:ext>
          </a:extLst>
        </xdr:cNvPr>
        <xdr:cNvSpPr/>
      </xdr:nvSpPr>
      <xdr:spPr>
        <a:xfrm rot="16200000">
          <a:off x="13534925582" y="45389671"/>
          <a:ext cx="226901" cy="1292447"/>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815398</xdr:colOff>
      <xdr:row>247</xdr:row>
      <xdr:rowOff>150082</xdr:rowOff>
    </xdr:from>
    <xdr:to>
      <xdr:col>1</xdr:col>
      <xdr:colOff>551439</xdr:colOff>
      <xdr:row>250</xdr:row>
      <xdr:rowOff>102435</xdr:rowOff>
    </xdr:to>
    <xdr:pic>
      <xdr:nvPicPr>
        <xdr:cNvPr id="39" name="Picture 38" descr="Mission accomplished Meticulous Line icon">
          <a:extLst>
            <a:ext uri="{FF2B5EF4-FFF2-40B4-BE49-F238E27FC236}">
              <a16:creationId xmlns:a16="http://schemas.microsoft.com/office/drawing/2014/main" id="{296E976B-6FAF-A3A6-F653-2187331203B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35653362" y="46064912"/>
          <a:ext cx="562263" cy="558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432954</xdr:colOff>
      <xdr:row>273</xdr:row>
      <xdr:rowOff>129886</xdr:rowOff>
    </xdr:from>
    <xdr:to>
      <xdr:col>7</xdr:col>
      <xdr:colOff>414915</xdr:colOff>
      <xdr:row>273</xdr:row>
      <xdr:rowOff>140710</xdr:rowOff>
    </xdr:to>
    <xdr:cxnSp macro="">
      <xdr:nvCxnSpPr>
        <xdr:cNvPr id="41" name="Straight Arrow Connector 40">
          <a:extLst>
            <a:ext uri="{FF2B5EF4-FFF2-40B4-BE49-F238E27FC236}">
              <a16:creationId xmlns:a16="http://schemas.microsoft.com/office/drawing/2014/main" id="{115D1FE5-5ED4-0528-6B38-FD0546725AD3}"/>
            </a:ext>
          </a:extLst>
        </xdr:cNvPr>
        <xdr:cNvCxnSpPr/>
      </xdr:nvCxnSpPr>
      <xdr:spPr>
        <a:xfrm flipV="1">
          <a:off x="13530807301" y="50691761"/>
          <a:ext cx="4964546" cy="10824"/>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6</xdr:col>
      <xdr:colOff>61335</xdr:colOff>
      <xdr:row>275</xdr:row>
      <xdr:rowOff>7216</xdr:rowOff>
    </xdr:from>
    <xdr:to>
      <xdr:col>6</xdr:col>
      <xdr:colOff>623598</xdr:colOff>
      <xdr:row>277</xdr:row>
      <xdr:rowOff>161613</xdr:rowOff>
    </xdr:to>
    <xdr:pic>
      <xdr:nvPicPr>
        <xdr:cNvPr id="42" name="Picture 41" descr="Mission accomplished Meticulous Line icon">
          <a:extLst>
            <a:ext uri="{FF2B5EF4-FFF2-40B4-BE49-F238E27FC236}">
              <a16:creationId xmlns:a16="http://schemas.microsoft.com/office/drawing/2014/main" id="{7CB5F241-6059-2645-AF23-74C77C5CFE82}"/>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31424840" y="50973182"/>
          <a:ext cx="562263" cy="558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364404</xdr:colOff>
      <xdr:row>278</xdr:row>
      <xdr:rowOff>46904</xdr:rowOff>
    </xdr:from>
    <xdr:to>
      <xdr:col>5</xdr:col>
      <xdr:colOff>432955</xdr:colOff>
      <xdr:row>279</xdr:row>
      <xdr:rowOff>90199</xdr:rowOff>
    </xdr:to>
    <xdr:sp macro="" textlink="">
      <xdr:nvSpPr>
        <xdr:cNvPr id="45" name="Down Arrow 44">
          <a:extLst>
            <a:ext uri="{FF2B5EF4-FFF2-40B4-BE49-F238E27FC236}">
              <a16:creationId xmlns:a16="http://schemas.microsoft.com/office/drawing/2014/main" id="{85C0A3E9-43EC-710B-5FA8-715F433CF19D}"/>
            </a:ext>
          </a:extLst>
        </xdr:cNvPr>
        <xdr:cNvSpPr/>
      </xdr:nvSpPr>
      <xdr:spPr>
        <a:xfrm>
          <a:off x="13532466960" y="51619006"/>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349972</xdr:colOff>
      <xdr:row>278</xdr:row>
      <xdr:rowOff>3609</xdr:rowOff>
    </xdr:from>
    <xdr:to>
      <xdr:col>3</xdr:col>
      <xdr:colOff>418523</xdr:colOff>
      <xdr:row>279</xdr:row>
      <xdr:rowOff>46904</xdr:rowOff>
    </xdr:to>
    <xdr:sp macro="" textlink="">
      <xdr:nvSpPr>
        <xdr:cNvPr id="46" name="Down Arrow 45">
          <a:extLst>
            <a:ext uri="{FF2B5EF4-FFF2-40B4-BE49-F238E27FC236}">
              <a16:creationId xmlns:a16="http://schemas.microsoft.com/office/drawing/2014/main" id="{40806780-3A38-E076-E582-0975796E59A5}"/>
            </a:ext>
          </a:extLst>
        </xdr:cNvPr>
        <xdr:cNvSpPr/>
      </xdr:nvSpPr>
      <xdr:spPr>
        <a:xfrm>
          <a:off x="13534133835" y="51575711"/>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371621</xdr:colOff>
      <xdr:row>277</xdr:row>
      <xdr:rowOff>191222</xdr:rowOff>
    </xdr:from>
    <xdr:to>
      <xdr:col>2</xdr:col>
      <xdr:colOff>440172</xdr:colOff>
      <xdr:row>279</xdr:row>
      <xdr:rowOff>32472</xdr:rowOff>
    </xdr:to>
    <xdr:sp macro="" textlink="">
      <xdr:nvSpPr>
        <xdr:cNvPr id="47" name="Down Arrow 46">
          <a:extLst>
            <a:ext uri="{FF2B5EF4-FFF2-40B4-BE49-F238E27FC236}">
              <a16:creationId xmlns:a16="http://schemas.microsoft.com/office/drawing/2014/main" id="{DD76E2E8-E09B-3229-8A6E-2E35893C533B}"/>
            </a:ext>
          </a:extLst>
        </xdr:cNvPr>
        <xdr:cNvSpPr/>
      </xdr:nvSpPr>
      <xdr:spPr>
        <a:xfrm>
          <a:off x="13534938408" y="51561279"/>
          <a:ext cx="68551" cy="2453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799804</xdr:colOff>
      <xdr:row>283</xdr:row>
      <xdr:rowOff>3693</xdr:rowOff>
    </xdr:from>
    <xdr:to>
      <xdr:col>6</xdr:col>
      <xdr:colOff>31893</xdr:colOff>
      <xdr:row>287</xdr:row>
      <xdr:rowOff>99292</xdr:rowOff>
    </xdr:to>
    <xdr:pic>
      <xdr:nvPicPr>
        <xdr:cNvPr id="48" name="Picture 47" descr="Free Vector | Staff meeting">
          <a:extLst>
            <a:ext uri="{FF2B5EF4-FFF2-40B4-BE49-F238E27FC236}">
              <a16:creationId xmlns:a16="http://schemas.microsoft.com/office/drawing/2014/main" id="{F1F3A2D5-F3BD-C14F-D9A3-68B8E266B12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44377816" y="57718548"/>
          <a:ext cx="908194" cy="907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335541</xdr:colOff>
      <xdr:row>270</xdr:row>
      <xdr:rowOff>187615</xdr:rowOff>
    </xdr:from>
    <xdr:to>
      <xdr:col>6</xdr:col>
      <xdr:colOff>342757</xdr:colOff>
      <xdr:row>272</xdr:row>
      <xdr:rowOff>3611</xdr:rowOff>
    </xdr:to>
    <xdr:sp macro="" textlink="">
      <xdr:nvSpPr>
        <xdr:cNvPr id="49" name="Left Brace 48">
          <a:extLst>
            <a:ext uri="{FF2B5EF4-FFF2-40B4-BE49-F238E27FC236}">
              <a16:creationId xmlns:a16="http://schemas.microsoft.com/office/drawing/2014/main" id="{13FBA086-697D-799E-D6E3-4CF83FC38522}"/>
            </a:ext>
          </a:extLst>
        </xdr:cNvPr>
        <xdr:cNvSpPr/>
      </xdr:nvSpPr>
      <xdr:spPr>
        <a:xfrm rot="5400000">
          <a:off x="13532438096" y="49815030"/>
          <a:ext cx="220086" cy="168491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5</xdr:col>
      <xdr:colOff>106998</xdr:colOff>
      <xdr:row>268</xdr:row>
      <xdr:rowOff>110345</xdr:rowOff>
    </xdr:from>
    <xdr:ext cx="1673423" cy="317972"/>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42276E06-F852-57C4-7E19-54414198D2A8}"/>
                </a:ext>
              </a:extLst>
            </xdr:cNvPr>
            <xdr:cNvSpPr txBox="1"/>
          </xdr:nvSpPr>
          <xdr:spPr>
            <a:xfrm flipH="1">
              <a:off x="13485019469" y="50849869"/>
              <a:ext cx="167342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4,200,000−1,200,000</m:t>
                        </m:r>
                      </m:num>
                      <m:den>
                        <m:r>
                          <a:rPr lang="he-IL" sz="1100" b="0" i="1">
                            <a:latin typeface="Cambria Math" panose="02040503050406030204" pitchFamily="18" charset="0"/>
                          </a:rPr>
                          <m:t>25</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m:t>
                        </m:r>
                      </m:num>
                      <m:den>
                        <m:r>
                          <a:rPr lang="he-IL" sz="1100" b="0" i="1">
                            <a:latin typeface="Cambria Math" panose="02040503050406030204" pitchFamily="18" charset="0"/>
                          </a:rPr>
                          <m:t>12</m:t>
                        </m:r>
                      </m:den>
                    </m:f>
                  </m:oMath>
                </m:oMathPara>
              </a14:m>
              <a:endParaRPr lang="en-US" sz="1100"/>
            </a:p>
          </xdr:txBody>
        </xdr:sp>
      </mc:Choice>
      <mc:Fallback xmlns="">
        <xdr:sp macro="" textlink="">
          <xdr:nvSpPr>
            <xdr:cNvPr id="50" name="TextBox 49">
              <a:extLst>
                <a:ext uri="{FF2B5EF4-FFF2-40B4-BE49-F238E27FC236}">
                  <a16:creationId xmlns:a16="http://schemas.microsoft.com/office/drawing/2014/main" id="{42276E06-F852-57C4-7E19-54414198D2A8}"/>
                </a:ext>
              </a:extLst>
            </xdr:cNvPr>
            <xdr:cNvSpPr txBox="1"/>
          </xdr:nvSpPr>
          <xdr:spPr>
            <a:xfrm flipH="1">
              <a:off x="13485019469" y="50849869"/>
              <a:ext cx="167342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(4,200,000−1,200,000)/25∗3/12</a:t>
              </a:r>
              <a:endParaRPr lang="en-US" sz="1100"/>
            </a:p>
          </xdr:txBody>
        </xdr:sp>
      </mc:Fallback>
    </mc:AlternateContent>
    <xdr:clientData/>
  </xdr:oneCellAnchor>
  <xdr:twoCellAnchor>
    <xdr:from>
      <xdr:col>0</xdr:col>
      <xdr:colOff>130256</xdr:colOff>
      <xdr:row>332</xdr:row>
      <xdr:rowOff>139560</xdr:rowOff>
    </xdr:from>
    <xdr:to>
      <xdr:col>7</xdr:col>
      <xdr:colOff>414915</xdr:colOff>
      <xdr:row>332</xdr:row>
      <xdr:rowOff>140710</xdr:rowOff>
    </xdr:to>
    <xdr:cxnSp macro="">
      <xdr:nvCxnSpPr>
        <xdr:cNvPr id="51" name="Straight Arrow Connector 50">
          <a:extLst>
            <a:ext uri="{FF2B5EF4-FFF2-40B4-BE49-F238E27FC236}">
              <a16:creationId xmlns:a16="http://schemas.microsoft.com/office/drawing/2014/main" id="{49967C79-9A55-2840-A9D3-51827D17114B}"/>
            </a:ext>
          </a:extLst>
        </xdr:cNvPr>
        <xdr:cNvCxnSpPr/>
      </xdr:nvCxnSpPr>
      <xdr:spPr>
        <a:xfrm flipV="1">
          <a:off x="13484710250" y="62974322"/>
          <a:ext cx="6076417" cy="115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6</xdr:col>
      <xdr:colOff>61335</xdr:colOff>
      <xdr:row>334</xdr:row>
      <xdr:rowOff>7216</xdr:rowOff>
    </xdr:from>
    <xdr:ext cx="562263" cy="563776"/>
    <xdr:pic>
      <xdr:nvPicPr>
        <xdr:cNvPr id="52" name="Picture 51" descr="Mission accomplished Meticulous Line icon">
          <a:extLst>
            <a:ext uri="{FF2B5EF4-FFF2-40B4-BE49-F238E27FC236}">
              <a16:creationId xmlns:a16="http://schemas.microsoft.com/office/drawing/2014/main" id="{3A1DB557-96F9-5C4D-84BF-778A2DC8058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485324973" y="52179560"/>
          <a:ext cx="562263" cy="5637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xdr:col>
      <xdr:colOff>364404</xdr:colOff>
      <xdr:row>337</xdr:row>
      <xdr:rowOff>46904</xdr:rowOff>
    </xdr:from>
    <xdr:to>
      <xdr:col>5</xdr:col>
      <xdr:colOff>432955</xdr:colOff>
      <xdr:row>338</xdr:row>
      <xdr:rowOff>90199</xdr:rowOff>
    </xdr:to>
    <xdr:sp macro="" textlink="">
      <xdr:nvSpPr>
        <xdr:cNvPr id="53" name="Down Arrow 52">
          <a:extLst>
            <a:ext uri="{FF2B5EF4-FFF2-40B4-BE49-F238E27FC236}">
              <a16:creationId xmlns:a16="http://schemas.microsoft.com/office/drawing/2014/main" id="{65C2A2D3-2B6A-F344-AA1D-78DBCB1DF5A8}"/>
            </a:ext>
          </a:extLst>
        </xdr:cNvPr>
        <xdr:cNvSpPr/>
      </xdr:nvSpPr>
      <xdr:spPr>
        <a:xfrm>
          <a:off x="13486366935" y="52833314"/>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349972</xdr:colOff>
      <xdr:row>337</xdr:row>
      <xdr:rowOff>3609</xdr:rowOff>
    </xdr:from>
    <xdr:to>
      <xdr:col>3</xdr:col>
      <xdr:colOff>418523</xdr:colOff>
      <xdr:row>338</xdr:row>
      <xdr:rowOff>46904</xdr:rowOff>
    </xdr:to>
    <xdr:sp macro="" textlink="">
      <xdr:nvSpPr>
        <xdr:cNvPr id="54" name="Down Arrow 53">
          <a:extLst>
            <a:ext uri="{FF2B5EF4-FFF2-40B4-BE49-F238E27FC236}">
              <a16:creationId xmlns:a16="http://schemas.microsoft.com/office/drawing/2014/main" id="{8302044E-8D8B-B040-8A4D-847C3A16BEC0}"/>
            </a:ext>
          </a:extLst>
        </xdr:cNvPr>
        <xdr:cNvSpPr/>
      </xdr:nvSpPr>
      <xdr:spPr>
        <a:xfrm>
          <a:off x="13488028180" y="52790019"/>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815396</xdr:colOff>
      <xdr:row>342</xdr:row>
      <xdr:rowOff>19277</xdr:rowOff>
    </xdr:from>
    <xdr:ext cx="891223" cy="898768"/>
    <xdr:pic>
      <xdr:nvPicPr>
        <xdr:cNvPr id="56" name="Picture 55" descr="Free Vector | Staff meeting">
          <a:extLst>
            <a:ext uri="{FF2B5EF4-FFF2-40B4-BE49-F238E27FC236}">
              <a16:creationId xmlns:a16="http://schemas.microsoft.com/office/drawing/2014/main" id="{BF10EAE1-4DEF-2241-9199-8D98832A35A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485916678" y="53829130"/>
          <a:ext cx="891223" cy="8987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xdr:col>
      <xdr:colOff>345320</xdr:colOff>
      <xdr:row>342</xdr:row>
      <xdr:rowOff>31522</xdr:rowOff>
    </xdr:from>
    <xdr:to>
      <xdr:col>3</xdr:col>
      <xdr:colOff>413871</xdr:colOff>
      <xdr:row>343</xdr:row>
      <xdr:rowOff>74817</xdr:rowOff>
    </xdr:to>
    <xdr:sp macro="" textlink="">
      <xdr:nvSpPr>
        <xdr:cNvPr id="57" name="Down Arrow 56">
          <a:extLst>
            <a:ext uri="{FF2B5EF4-FFF2-40B4-BE49-F238E27FC236}">
              <a16:creationId xmlns:a16="http://schemas.microsoft.com/office/drawing/2014/main" id="{63F4EC8E-C61C-00BF-D413-0AC6E694400A}"/>
            </a:ext>
          </a:extLst>
        </xdr:cNvPr>
        <xdr:cNvSpPr/>
      </xdr:nvSpPr>
      <xdr:spPr>
        <a:xfrm>
          <a:off x="13488032832" y="64913170"/>
          <a:ext cx="68551" cy="2479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227948</xdr:colOff>
      <xdr:row>330</xdr:row>
      <xdr:rowOff>23261</xdr:rowOff>
    </xdr:from>
    <xdr:to>
      <xdr:col>4</xdr:col>
      <xdr:colOff>565459</xdr:colOff>
      <xdr:row>330</xdr:row>
      <xdr:rowOff>190736</xdr:rowOff>
    </xdr:to>
    <xdr:sp macro="" textlink="">
      <xdr:nvSpPr>
        <xdr:cNvPr id="59" name="Left Brace 58">
          <a:extLst>
            <a:ext uri="{FF2B5EF4-FFF2-40B4-BE49-F238E27FC236}">
              <a16:creationId xmlns:a16="http://schemas.microsoft.com/office/drawing/2014/main" id="{C54C7A34-3883-0548-A00A-C4BB0D54D6FA}"/>
            </a:ext>
          </a:extLst>
        </xdr:cNvPr>
        <xdr:cNvSpPr/>
      </xdr:nvSpPr>
      <xdr:spPr>
        <a:xfrm rot="5400000">
          <a:off x="13487554559" y="62156613"/>
          <a:ext cx="167475" cy="1160917"/>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88387</xdr:colOff>
      <xdr:row>328</xdr:row>
      <xdr:rowOff>73129</xdr:rowOff>
    </xdr:from>
    <xdr:ext cx="1793680" cy="317972"/>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623FECB8-505E-C385-0F3E-C0A51F8AC266}"/>
                </a:ext>
              </a:extLst>
            </xdr:cNvPr>
            <xdr:cNvSpPr txBox="1"/>
          </xdr:nvSpPr>
          <xdr:spPr>
            <a:xfrm>
              <a:off x="13486564636" y="63112580"/>
              <a:ext cx="1793680"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4,200,000−1,200,000</m:t>
                        </m:r>
                      </m:num>
                      <m:den>
                        <m:r>
                          <a:rPr lang="he-IL" sz="1100" b="0" i="1">
                            <a:latin typeface="Cambria Math" panose="02040503050406030204" pitchFamily="18" charset="0"/>
                          </a:rPr>
                          <m:t>25</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2</m:t>
                        </m:r>
                      </m:num>
                      <m:den>
                        <m:r>
                          <a:rPr lang="he-IL" sz="1100" b="0" i="1">
                            <a:latin typeface="Cambria Math" panose="02040503050406030204" pitchFamily="18" charset="0"/>
                          </a:rPr>
                          <m:t>12</m:t>
                        </m:r>
                      </m:den>
                    </m:f>
                  </m:oMath>
                </m:oMathPara>
              </a14:m>
              <a:endParaRPr lang="en-US" sz="1100"/>
            </a:p>
          </xdr:txBody>
        </xdr:sp>
      </mc:Choice>
      <mc:Fallback xmlns="">
        <xdr:sp macro="" textlink="">
          <xdr:nvSpPr>
            <xdr:cNvPr id="60" name="TextBox 59">
              <a:extLst>
                <a:ext uri="{FF2B5EF4-FFF2-40B4-BE49-F238E27FC236}">
                  <a16:creationId xmlns:a16="http://schemas.microsoft.com/office/drawing/2014/main" id="{623FECB8-505E-C385-0F3E-C0A51F8AC266}"/>
                </a:ext>
              </a:extLst>
            </xdr:cNvPr>
            <xdr:cNvSpPr txBox="1"/>
          </xdr:nvSpPr>
          <xdr:spPr>
            <a:xfrm>
              <a:off x="13486564636" y="63112580"/>
              <a:ext cx="1793680"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(4,200,000−1,200,000)/25∗2/12</a:t>
              </a:r>
              <a:endParaRPr lang="en-US" sz="1100"/>
            </a:p>
          </xdr:txBody>
        </xdr:sp>
      </mc:Fallback>
    </mc:AlternateContent>
    <xdr:clientData/>
  </xdr:oneCellAnchor>
  <xdr:twoCellAnchor>
    <xdr:from>
      <xdr:col>2</xdr:col>
      <xdr:colOff>569439</xdr:colOff>
      <xdr:row>383</xdr:row>
      <xdr:rowOff>93658</xdr:rowOff>
    </xdr:from>
    <xdr:to>
      <xdr:col>3</xdr:col>
      <xdr:colOff>7529</xdr:colOff>
      <xdr:row>385</xdr:row>
      <xdr:rowOff>104896</xdr:rowOff>
    </xdr:to>
    <xdr:sp macro="" textlink="">
      <xdr:nvSpPr>
        <xdr:cNvPr id="61" name="Freeform 60">
          <a:extLst>
            <a:ext uri="{FF2B5EF4-FFF2-40B4-BE49-F238E27FC236}">
              <a16:creationId xmlns:a16="http://schemas.microsoft.com/office/drawing/2014/main" id="{56FE5E14-2735-71AE-5853-E1B4E0AEB84C}"/>
            </a:ext>
          </a:extLst>
        </xdr:cNvPr>
        <xdr:cNvSpPr/>
      </xdr:nvSpPr>
      <xdr:spPr>
        <a:xfrm>
          <a:off x="13501246336" y="73645015"/>
          <a:ext cx="262278" cy="415840"/>
        </a:xfrm>
        <a:custGeom>
          <a:avLst/>
          <a:gdLst>
            <a:gd name="connsiteX0" fmla="*/ 262278 w 262278"/>
            <a:gd name="connsiteY0" fmla="*/ 0 h 415840"/>
            <a:gd name="connsiteX1" fmla="*/ 36 w 262278"/>
            <a:gd name="connsiteY1" fmla="*/ 262242 h 415840"/>
            <a:gd name="connsiteX2" fmla="*/ 247292 w 262278"/>
            <a:gd name="connsiteY2" fmla="*/ 415840 h 415840"/>
          </a:gdLst>
          <a:ahLst/>
          <a:cxnLst>
            <a:cxn ang="0">
              <a:pos x="connsiteX0" y="connsiteY0"/>
            </a:cxn>
            <a:cxn ang="0">
              <a:pos x="connsiteX1" y="connsiteY1"/>
            </a:cxn>
            <a:cxn ang="0">
              <a:pos x="connsiteX2" y="connsiteY2"/>
            </a:cxn>
          </a:cxnLst>
          <a:rect l="l" t="t" r="r" b="b"/>
          <a:pathLst>
            <a:path w="262278" h="415840">
              <a:moveTo>
                <a:pt x="262278" y="0"/>
              </a:moveTo>
              <a:cubicBezTo>
                <a:pt x="132406" y="96467"/>
                <a:pt x="2534" y="192935"/>
                <a:pt x="36" y="262242"/>
              </a:cubicBezTo>
              <a:cubicBezTo>
                <a:pt x="-2462" y="331549"/>
                <a:pt x="122415" y="373694"/>
                <a:pt x="247292" y="415840"/>
              </a:cubicBezTo>
            </a:path>
          </a:pathLst>
        </a:custGeom>
        <a:ln w="9525"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576933</xdr:colOff>
      <xdr:row>437</xdr:row>
      <xdr:rowOff>172330</xdr:rowOff>
    </xdr:from>
    <xdr:to>
      <xdr:col>4</xdr:col>
      <xdr:colOff>457051</xdr:colOff>
      <xdr:row>441</xdr:row>
      <xdr:rowOff>138613</xdr:rowOff>
    </xdr:to>
    <xdr:cxnSp macro="">
      <xdr:nvCxnSpPr>
        <xdr:cNvPr id="63" name="Straight Arrow Connector 62">
          <a:extLst>
            <a:ext uri="{FF2B5EF4-FFF2-40B4-BE49-F238E27FC236}">
              <a16:creationId xmlns:a16="http://schemas.microsoft.com/office/drawing/2014/main" id="{39C1345D-034D-814F-89C3-07D4025CF653}"/>
            </a:ext>
          </a:extLst>
        </xdr:cNvPr>
        <xdr:cNvCxnSpPr/>
      </xdr:nvCxnSpPr>
      <xdr:spPr>
        <a:xfrm flipH="1">
          <a:off x="13499972625" y="84543038"/>
          <a:ext cx="704307" cy="77548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168584</xdr:colOff>
      <xdr:row>437</xdr:row>
      <xdr:rowOff>198555</xdr:rowOff>
    </xdr:from>
    <xdr:to>
      <xdr:col>3</xdr:col>
      <xdr:colOff>333423</xdr:colOff>
      <xdr:row>441</xdr:row>
      <xdr:rowOff>119882</xdr:rowOff>
    </xdr:to>
    <xdr:cxnSp macro="">
      <xdr:nvCxnSpPr>
        <xdr:cNvPr id="64" name="Straight Arrow Connector 63">
          <a:extLst>
            <a:ext uri="{FF2B5EF4-FFF2-40B4-BE49-F238E27FC236}">
              <a16:creationId xmlns:a16="http://schemas.microsoft.com/office/drawing/2014/main" id="{80199115-76B9-8D50-15E6-09CB1FB23913}"/>
            </a:ext>
          </a:extLst>
        </xdr:cNvPr>
        <xdr:cNvCxnSpPr/>
      </xdr:nvCxnSpPr>
      <xdr:spPr>
        <a:xfrm>
          <a:off x="13500920442" y="84569263"/>
          <a:ext cx="989027" cy="7305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588173</xdr:colOff>
      <xdr:row>451</xdr:row>
      <xdr:rowOff>198554</xdr:rowOff>
    </xdr:from>
    <xdr:to>
      <xdr:col>4</xdr:col>
      <xdr:colOff>138614</xdr:colOff>
      <xdr:row>454</xdr:row>
      <xdr:rowOff>63687</xdr:rowOff>
    </xdr:to>
    <xdr:cxnSp macro="">
      <xdr:nvCxnSpPr>
        <xdr:cNvPr id="67" name="Straight Arrow Connector 66">
          <a:extLst>
            <a:ext uri="{FF2B5EF4-FFF2-40B4-BE49-F238E27FC236}">
              <a16:creationId xmlns:a16="http://schemas.microsoft.com/office/drawing/2014/main" id="{DFF569C3-FB66-B61C-F90C-F5F12DC2959D}"/>
            </a:ext>
          </a:extLst>
        </xdr:cNvPr>
        <xdr:cNvCxnSpPr/>
      </xdr:nvCxnSpPr>
      <xdr:spPr>
        <a:xfrm flipH="1">
          <a:off x="13500291062" y="87401474"/>
          <a:ext cx="374630" cy="4720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112391</xdr:colOff>
      <xdr:row>452</xdr:row>
      <xdr:rowOff>14985</xdr:rowOff>
    </xdr:from>
    <xdr:to>
      <xdr:col>3</xdr:col>
      <xdr:colOff>239765</xdr:colOff>
      <xdr:row>455</xdr:row>
      <xdr:rowOff>134867</xdr:rowOff>
    </xdr:to>
    <xdr:cxnSp macro="">
      <xdr:nvCxnSpPr>
        <xdr:cNvPr id="69" name="Straight Arrow Connector 68">
          <a:extLst>
            <a:ext uri="{FF2B5EF4-FFF2-40B4-BE49-F238E27FC236}">
              <a16:creationId xmlns:a16="http://schemas.microsoft.com/office/drawing/2014/main" id="{D598A0AD-5256-7088-6E8F-027ADFB5216F}"/>
            </a:ext>
          </a:extLst>
        </xdr:cNvPr>
        <xdr:cNvCxnSpPr/>
      </xdr:nvCxnSpPr>
      <xdr:spPr>
        <a:xfrm flipH="1">
          <a:off x="13501014100" y="87420206"/>
          <a:ext cx="127374" cy="7267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452</xdr:row>
      <xdr:rowOff>7491</xdr:rowOff>
    </xdr:from>
    <xdr:to>
      <xdr:col>2</xdr:col>
      <xdr:colOff>385871</xdr:colOff>
      <xdr:row>454</xdr:row>
      <xdr:rowOff>82418</xdr:rowOff>
    </xdr:to>
    <xdr:cxnSp macro="">
      <xdr:nvCxnSpPr>
        <xdr:cNvPr id="71" name="Straight Arrow Connector 70">
          <a:extLst>
            <a:ext uri="{FF2B5EF4-FFF2-40B4-BE49-F238E27FC236}">
              <a16:creationId xmlns:a16="http://schemas.microsoft.com/office/drawing/2014/main" id="{252DEC58-612F-486E-93DA-D02362EAD34E}"/>
            </a:ext>
          </a:extLst>
        </xdr:cNvPr>
        <xdr:cNvCxnSpPr/>
      </xdr:nvCxnSpPr>
      <xdr:spPr>
        <a:xfrm>
          <a:off x="13501692182" y="87412712"/>
          <a:ext cx="385871" cy="4795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402493</xdr:colOff>
      <xdr:row>465</xdr:row>
      <xdr:rowOff>82061</xdr:rowOff>
    </xdr:from>
    <xdr:to>
      <xdr:col>2</xdr:col>
      <xdr:colOff>406400</xdr:colOff>
      <xdr:row>470</xdr:row>
      <xdr:rowOff>109415</xdr:rowOff>
    </xdr:to>
    <xdr:cxnSp macro="">
      <xdr:nvCxnSpPr>
        <xdr:cNvPr id="74" name="Straight Arrow Connector 73">
          <a:extLst>
            <a:ext uri="{FF2B5EF4-FFF2-40B4-BE49-F238E27FC236}">
              <a16:creationId xmlns:a16="http://schemas.microsoft.com/office/drawing/2014/main" id="{697988DC-01CE-7F71-5437-001026AE2220}"/>
            </a:ext>
          </a:extLst>
        </xdr:cNvPr>
        <xdr:cNvCxnSpPr/>
      </xdr:nvCxnSpPr>
      <xdr:spPr>
        <a:xfrm>
          <a:off x="13507153385" y="90537323"/>
          <a:ext cx="3907" cy="104335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347785</xdr:colOff>
      <xdr:row>465</xdr:row>
      <xdr:rowOff>179752</xdr:rowOff>
    </xdr:from>
    <xdr:to>
      <xdr:col>4</xdr:col>
      <xdr:colOff>355599</xdr:colOff>
      <xdr:row>470</xdr:row>
      <xdr:rowOff>70338</xdr:rowOff>
    </xdr:to>
    <xdr:cxnSp macro="">
      <xdr:nvCxnSpPr>
        <xdr:cNvPr id="75" name="Straight Arrow Connector 74">
          <a:extLst>
            <a:ext uri="{FF2B5EF4-FFF2-40B4-BE49-F238E27FC236}">
              <a16:creationId xmlns:a16="http://schemas.microsoft.com/office/drawing/2014/main" id="{08091CD4-AFBD-BC53-6329-E493157FF1B7}"/>
            </a:ext>
          </a:extLst>
        </xdr:cNvPr>
        <xdr:cNvCxnSpPr/>
      </xdr:nvCxnSpPr>
      <xdr:spPr>
        <a:xfrm>
          <a:off x="13505555140" y="90635014"/>
          <a:ext cx="7814" cy="90658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5</xdr:col>
      <xdr:colOff>488463</xdr:colOff>
      <xdr:row>479</xdr:row>
      <xdr:rowOff>195383</xdr:rowOff>
    </xdr:from>
    <xdr:to>
      <xdr:col>5</xdr:col>
      <xdr:colOff>492370</xdr:colOff>
      <xdr:row>482</xdr:row>
      <xdr:rowOff>3907</xdr:rowOff>
    </xdr:to>
    <xdr:cxnSp macro="">
      <xdr:nvCxnSpPr>
        <xdr:cNvPr id="77" name="Straight Arrow Connector 76">
          <a:extLst>
            <a:ext uri="{FF2B5EF4-FFF2-40B4-BE49-F238E27FC236}">
              <a16:creationId xmlns:a16="http://schemas.microsoft.com/office/drawing/2014/main" id="{5A5278EF-E89A-2A33-B6E5-7809DF2657A7}"/>
            </a:ext>
          </a:extLst>
        </xdr:cNvPr>
        <xdr:cNvCxnSpPr/>
      </xdr:nvCxnSpPr>
      <xdr:spPr>
        <a:xfrm flipH="1">
          <a:off x="13504593846" y="93495445"/>
          <a:ext cx="3907" cy="418124"/>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543170</xdr:colOff>
      <xdr:row>479</xdr:row>
      <xdr:rowOff>175843</xdr:rowOff>
    </xdr:from>
    <xdr:to>
      <xdr:col>4</xdr:col>
      <xdr:colOff>547078</xdr:colOff>
      <xdr:row>484</xdr:row>
      <xdr:rowOff>62521</xdr:rowOff>
    </xdr:to>
    <xdr:cxnSp macro="">
      <xdr:nvCxnSpPr>
        <xdr:cNvPr id="79" name="Straight Arrow Connector 78">
          <a:extLst>
            <a:ext uri="{FF2B5EF4-FFF2-40B4-BE49-F238E27FC236}">
              <a16:creationId xmlns:a16="http://schemas.microsoft.com/office/drawing/2014/main" id="{703FE49A-EE32-345A-7330-66ACF8D72DA5}"/>
            </a:ext>
          </a:extLst>
        </xdr:cNvPr>
        <xdr:cNvCxnSpPr/>
      </xdr:nvCxnSpPr>
      <xdr:spPr>
        <a:xfrm>
          <a:off x="13505363661" y="93475905"/>
          <a:ext cx="3908" cy="90267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3</xdr:col>
      <xdr:colOff>480647</xdr:colOff>
      <xdr:row>480</xdr:row>
      <xdr:rowOff>23443</xdr:rowOff>
    </xdr:from>
    <xdr:to>
      <xdr:col>4</xdr:col>
      <xdr:colOff>222739</xdr:colOff>
      <xdr:row>482</xdr:row>
      <xdr:rowOff>132861</xdr:rowOff>
    </xdr:to>
    <xdr:cxnSp macro="">
      <xdr:nvCxnSpPr>
        <xdr:cNvPr id="81" name="Straight Arrow Connector 80">
          <a:extLst>
            <a:ext uri="{FF2B5EF4-FFF2-40B4-BE49-F238E27FC236}">
              <a16:creationId xmlns:a16="http://schemas.microsoft.com/office/drawing/2014/main" id="{C34B4544-53C9-468B-388A-B05277CCC7CD}"/>
            </a:ext>
          </a:extLst>
        </xdr:cNvPr>
        <xdr:cNvCxnSpPr/>
      </xdr:nvCxnSpPr>
      <xdr:spPr>
        <a:xfrm>
          <a:off x="13505688000" y="93526705"/>
          <a:ext cx="566615" cy="51581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2</xdr:col>
      <xdr:colOff>273539</xdr:colOff>
      <xdr:row>479</xdr:row>
      <xdr:rowOff>199289</xdr:rowOff>
    </xdr:from>
    <xdr:to>
      <xdr:col>3</xdr:col>
      <xdr:colOff>711200</xdr:colOff>
      <xdr:row>481</xdr:row>
      <xdr:rowOff>160215</xdr:rowOff>
    </xdr:to>
    <xdr:cxnSp macro="">
      <xdr:nvCxnSpPr>
        <xdr:cNvPr id="83" name="Straight Arrow Connector 82">
          <a:extLst>
            <a:ext uri="{FF2B5EF4-FFF2-40B4-BE49-F238E27FC236}">
              <a16:creationId xmlns:a16="http://schemas.microsoft.com/office/drawing/2014/main" id="{AB36E767-EE89-71C2-8248-7B44A3774C4C}"/>
            </a:ext>
          </a:extLst>
        </xdr:cNvPr>
        <xdr:cNvCxnSpPr/>
      </xdr:nvCxnSpPr>
      <xdr:spPr>
        <a:xfrm>
          <a:off x="13506024062" y="93499351"/>
          <a:ext cx="1262184" cy="367326"/>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7</xdr:col>
      <xdr:colOff>992554</xdr:colOff>
      <xdr:row>480</xdr:row>
      <xdr:rowOff>42984</xdr:rowOff>
    </xdr:from>
    <xdr:to>
      <xdr:col>8</xdr:col>
      <xdr:colOff>265724</xdr:colOff>
      <xdr:row>483</xdr:row>
      <xdr:rowOff>187569</xdr:rowOff>
    </xdr:to>
    <xdr:sp macro="" textlink="">
      <xdr:nvSpPr>
        <xdr:cNvPr id="85" name="Left Brace 84">
          <a:extLst>
            <a:ext uri="{FF2B5EF4-FFF2-40B4-BE49-F238E27FC236}">
              <a16:creationId xmlns:a16="http://schemas.microsoft.com/office/drawing/2014/main" id="{0A939BF5-BDFD-A8AC-4AE0-01C653BAB2CC}"/>
            </a:ext>
          </a:extLst>
        </xdr:cNvPr>
        <xdr:cNvSpPr/>
      </xdr:nvSpPr>
      <xdr:spPr>
        <a:xfrm>
          <a:off x="13502151538" y="93569692"/>
          <a:ext cx="265724" cy="789354"/>
        </a:xfrm>
        <a:prstGeom prst="leftBrace">
          <a:avLst>
            <a:gd name="adj1" fmla="val 8333"/>
            <a:gd name="adj2" fmla="val 37129"/>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957385</xdr:colOff>
      <xdr:row>479</xdr:row>
      <xdr:rowOff>109415</xdr:rowOff>
    </xdr:from>
    <xdr:to>
      <xdr:col>8</xdr:col>
      <xdr:colOff>277447</xdr:colOff>
      <xdr:row>479</xdr:row>
      <xdr:rowOff>113323</xdr:rowOff>
    </xdr:to>
    <xdr:cxnSp macro="">
      <xdr:nvCxnSpPr>
        <xdr:cNvPr id="86" name="Straight Arrow Connector 85">
          <a:extLst>
            <a:ext uri="{FF2B5EF4-FFF2-40B4-BE49-F238E27FC236}">
              <a16:creationId xmlns:a16="http://schemas.microsoft.com/office/drawing/2014/main" id="{7F132FEE-6A81-D4C7-AAA7-C22FA653F905}"/>
            </a:ext>
          </a:extLst>
        </xdr:cNvPr>
        <xdr:cNvCxnSpPr/>
      </xdr:nvCxnSpPr>
      <xdr:spPr>
        <a:xfrm flipH="1">
          <a:off x="13502139815" y="93421200"/>
          <a:ext cx="312616" cy="3908"/>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lientData/>
  </xdr:twoCellAnchor>
  <xdr:twoCellAnchor>
    <xdr:from>
      <xdr:col>4</xdr:col>
      <xdr:colOff>562708</xdr:colOff>
      <xdr:row>508</xdr:row>
      <xdr:rowOff>23446</xdr:rowOff>
    </xdr:from>
    <xdr:to>
      <xdr:col>4</xdr:col>
      <xdr:colOff>648677</xdr:colOff>
      <xdr:row>510</xdr:row>
      <xdr:rowOff>15631</xdr:rowOff>
    </xdr:to>
    <xdr:cxnSp macro="">
      <xdr:nvCxnSpPr>
        <xdr:cNvPr id="90" name="Straight Arrow Connector 89">
          <a:extLst>
            <a:ext uri="{FF2B5EF4-FFF2-40B4-BE49-F238E27FC236}">
              <a16:creationId xmlns:a16="http://schemas.microsoft.com/office/drawing/2014/main" id="{C3589DBE-BCDA-A7B4-C56A-F22A3F43E248}"/>
            </a:ext>
          </a:extLst>
        </xdr:cNvPr>
        <xdr:cNvCxnSpPr/>
      </xdr:nvCxnSpPr>
      <xdr:spPr>
        <a:xfrm flipH="1">
          <a:off x="13505262062" y="99286646"/>
          <a:ext cx="85969" cy="3985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531447</xdr:colOff>
      <xdr:row>508</xdr:row>
      <xdr:rowOff>7815</xdr:rowOff>
    </xdr:from>
    <xdr:to>
      <xdr:col>3</xdr:col>
      <xdr:colOff>574431</xdr:colOff>
      <xdr:row>511</xdr:row>
      <xdr:rowOff>31262</xdr:rowOff>
    </xdr:to>
    <xdr:cxnSp macro="">
      <xdr:nvCxnSpPr>
        <xdr:cNvPr id="91" name="Straight Arrow Connector 90">
          <a:extLst>
            <a:ext uri="{FF2B5EF4-FFF2-40B4-BE49-F238E27FC236}">
              <a16:creationId xmlns:a16="http://schemas.microsoft.com/office/drawing/2014/main" id="{0DB29575-53A4-6F74-D1F5-333E5DBFBFDB}"/>
            </a:ext>
          </a:extLst>
        </xdr:cNvPr>
        <xdr:cNvCxnSpPr/>
      </xdr:nvCxnSpPr>
      <xdr:spPr>
        <a:xfrm flipH="1">
          <a:off x="13506160831" y="99271015"/>
          <a:ext cx="42984" cy="6330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301677</xdr:colOff>
      <xdr:row>567</xdr:row>
      <xdr:rowOff>109416</xdr:rowOff>
    </xdr:from>
    <xdr:to>
      <xdr:col>3</xdr:col>
      <xdr:colOff>31259</xdr:colOff>
      <xdr:row>569</xdr:row>
      <xdr:rowOff>27354</xdr:rowOff>
    </xdr:to>
    <xdr:pic>
      <xdr:nvPicPr>
        <xdr:cNvPr id="93" name="Picture 92" descr="Ambu® Baby iQF">
          <a:extLst>
            <a:ext uri="{FF2B5EF4-FFF2-40B4-BE49-F238E27FC236}">
              <a16:creationId xmlns:a16="http://schemas.microsoft.com/office/drawing/2014/main" id="{31A58613-0DBE-9C69-BC7D-8CBD60DA702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3506704003" y="111384862"/>
          <a:ext cx="554105" cy="324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629138</xdr:colOff>
      <xdr:row>574</xdr:row>
      <xdr:rowOff>182612</xdr:rowOff>
    </xdr:from>
    <xdr:to>
      <xdr:col>3</xdr:col>
      <xdr:colOff>428868</xdr:colOff>
      <xdr:row>577</xdr:row>
      <xdr:rowOff>200267</xdr:rowOff>
    </xdr:to>
    <xdr:pic>
      <xdr:nvPicPr>
        <xdr:cNvPr id="94" name="Picture 93" descr="What are data, information, and knowledge?">
          <a:extLst>
            <a:ext uri="{FF2B5EF4-FFF2-40B4-BE49-F238E27FC236}">
              <a16:creationId xmlns:a16="http://schemas.microsoft.com/office/drawing/2014/main" id="{18F05449-9D08-5169-ABA4-B98578C5825B}"/>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3506306394" y="112880458"/>
          <a:ext cx="624253" cy="6272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78154</xdr:colOff>
      <xdr:row>593</xdr:row>
      <xdr:rowOff>192698</xdr:rowOff>
    </xdr:from>
    <xdr:to>
      <xdr:col>3</xdr:col>
      <xdr:colOff>248138</xdr:colOff>
      <xdr:row>596</xdr:row>
      <xdr:rowOff>181707</xdr:rowOff>
    </xdr:to>
    <xdr:pic>
      <xdr:nvPicPr>
        <xdr:cNvPr id="95" name="Picture 94" descr="Where did the expression 'OK' come from? | The Week">
          <a:extLst>
            <a:ext uri="{FF2B5EF4-FFF2-40B4-BE49-F238E27FC236}">
              <a16:creationId xmlns:a16="http://schemas.microsoft.com/office/drawing/2014/main" id="{4C821EF5-B8D8-9303-5B2F-309CCB9C0A06}"/>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3506487124" y="116751344"/>
          <a:ext cx="994507" cy="5986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613508</xdr:colOff>
      <xdr:row>612</xdr:row>
      <xdr:rowOff>104041</xdr:rowOff>
    </xdr:from>
    <xdr:to>
      <xdr:col>5</xdr:col>
      <xdr:colOff>503115</xdr:colOff>
      <xdr:row>616</xdr:row>
      <xdr:rowOff>4884</xdr:rowOff>
    </xdr:to>
    <xdr:pic>
      <xdr:nvPicPr>
        <xdr:cNvPr id="96" name="Picture 95" descr="Stop png images | PNGWing">
          <a:extLst>
            <a:ext uri="{FF2B5EF4-FFF2-40B4-BE49-F238E27FC236}">
              <a16:creationId xmlns:a16="http://schemas.microsoft.com/office/drawing/2014/main" id="{3BB5CA3E-23FE-6675-11AE-959272FF0D61}"/>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504583101" y="120523487"/>
          <a:ext cx="714130" cy="713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27356</xdr:colOff>
      <xdr:row>629</xdr:row>
      <xdr:rowOff>91891</xdr:rowOff>
    </xdr:from>
    <xdr:to>
      <xdr:col>6</xdr:col>
      <xdr:colOff>243255</xdr:colOff>
      <xdr:row>632</xdr:row>
      <xdr:rowOff>112345</xdr:rowOff>
    </xdr:to>
    <xdr:pic>
      <xdr:nvPicPr>
        <xdr:cNvPr id="97" name="Picture 96">
          <a:extLst>
            <a:ext uri="{FF2B5EF4-FFF2-40B4-BE49-F238E27FC236}">
              <a16:creationId xmlns:a16="http://schemas.microsoft.com/office/drawing/2014/main" id="{7E203544-7DC6-AB12-FE05-8C36DFA43B6A}"/>
            </a:ext>
          </a:extLst>
        </xdr:cNvPr>
        <xdr:cNvPicPr>
          <a:picLocks noChangeAspect="1"/>
        </xdr:cNvPicPr>
      </xdr:nvPicPr>
      <xdr:blipFill>
        <a:blip xmlns:r="http://schemas.openxmlformats.org/officeDocument/2006/relationships" r:embed="rId9"/>
        <a:stretch>
          <a:fillRect/>
        </a:stretch>
      </xdr:blipFill>
      <xdr:spPr>
        <a:xfrm>
          <a:off x="13503991084" y="123965737"/>
          <a:ext cx="1067776" cy="630054"/>
        </a:xfrm>
        <a:prstGeom prst="rect">
          <a:avLst/>
        </a:prstGeom>
      </xdr:spPr>
    </xdr:pic>
    <xdr:clientData/>
  </xdr:twoCellAnchor>
  <xdr:twoCellAnchor>
    <xdr:from>
      <xdr:col>6</xdr:col>
      <xdr:colOff>593970</xdr:colOff>
      <xdr:row>628</xdr:row>
      <xdr:rowOff>31261</xdr:rowOff>
    </xdr:from>
    <xdr:to>
      <xdr:col>9</xdr:col>
      <xdr:colOff>191478</xdr:colOff>
      <xdr:row>631</xdr:row>
      <xdr:rowOff>183661</xdr:rowOff>
    </xdr:to>
    <xdr:sp macro="" textlink="">
      <xdr:nvSpPr>
        <xdr:cNvPr id="98" name="Rounded Rectangular Callout 97">
          <a:extLst>
            <a:ext uri="{FF2B5EF4-FFF2-40B4-BE49-F238E27FC236}">
              <a16:creationId xmlns:a16="http://schemas.microsoft.com/office/drawing/2014/main" id="{D7B6F47C-8920-5E26-4716-EB609CF3E7F6}"/>
            </a:ext>
          </a:extLst>
        </xdr:cNvPr>
        <xdr:cNvSpPr/>
      </xdr:nvSpPr>
      <xdr:spPr>
        <a:xfrm>
          <a:off x="13501401261" y="123701907"/>
          <a:ext cx="2239108" cy="762000"/>
        </a:xfrm>
        <a:prstGeom prst="wedgeRoundRectCallout">
          <a:avLst>
            <a:gd name="adj1" fmla="val 66776"/>
            <a:gd name="adj2" fmla="val 2865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אתה</a:t>
          </a:r>
          <a:r>
            <a:rPr lang="he-IL" sz="1100" baseline="0"/>
            <a:t> יכולה לבחור לפי תקינה זה בינלאומי פורטי או את מודל השווי זה הוגן או את מודל זה עלות</a:t>
          </a:r>
          <a:endParaRPr lang="en-US" sz="1100"/>
        </a:p>
      </xdr:txBody>
    </xdr:sp>
    <xdr:clientData/>
  </xdr:twoCellAnchor>
  <xdr:twoCellAnchor editAs="oneCell">
    <xdr:from>
      <xdr:col>7</xdr:col>
      <xdr:colOff>590062</xdr:colOff>
      <xdr:row>632</xdr:row>
      <xdr:rowOff>157015</xdr:rowOff>
    </xdr:from>
    <xdr:to>
      <xdr:col>8</xdr:col>
      <xdr:colOff>759069</xdr:colOff>
      <xdr:row>637</xdr:row>
      <xdr:rowOff>71316</xdr:rowOff>
    </xdr:to>
    <xdr:pic>
      <xdr:nvPicPr>
        <xdr:cNvPr id="99" name="Picture 98">
          <a:extLst>
            <a:ext uri="{FF2B5EF4-FFF2-40B4-BE49-F238E27FC236}">
              <a16:creationId xmlns:a16="http://schemas.microsoft.com/office/drawing/2014/main" id="{A17C502F-229A-90CE-FCA2-3773BAF3EAD6}"/>
            </a:ext>
          </a:extLst>
        </xdr:cNvPr>
        <xdr:cNvPicPr>
          <a:picLocks noChangeAspect="1"/>
        </xdr:cNvPicPr>
      </xdr:nvPicPr>
      <xdr:blipFill>
        <a:blip xmlns:r="http://schemas.openxmlformats.org/officeDocument/2006/relationships" r:embed="rId10"/>
        <a:stretch>
          <a:fillRect/>
        </a:stretch>
      </xdr:blipFill>
      <xdr:spPr>
        <a:xfrm>
          <a:off x="13501658193" y="124640461"/>
          <a:ext cx="1161561" cy="930300"/>
        </a:xfrm>
        <a:prstGeom prst="rect">
          <a:avLst/>
        </a:prstGeom>
      </xdr:spPr>
    </xdr:pic>
    <xdr:clientData/>
  </xdr:twoCellAnchor>
  <xdr:twoCellAnchor>
    <xdr:from>
      <xdr:col>4</xdr:col>
      <xdr:colOff>578339</xdr:colOff>
      <xdr:row>635</xdr:row>
      <xdr:rowOff>117231</xdr:rowOff>
    </xdr:from>
    <xdr:to>
      <xdr:col>7</xdr:col>
      <xdr:colOff>316524</xdr:colOff>
      <xdr:row>639</xdr:row>
      <xdr:rowOff>66431</xdr:rowOff>
    </xdr:to>
    <xdr:sp macro="" textlink="">
      <xdr:nvSpPr>
        <xdr:cNvPr id="100" name="Rounded Rectangular Callout 99">
          <a:extLst>
            <a:ext uri="{FF2B5EF4-FFF2-40B4-BE49-F238E27FC236}">
              <a16:creationId xmlns:a16="http://schemas.microsoft.com/office/drawing/2014/main" id="{52977650-96AA-8764-13C1-0BC8420B3F4E}"/>
            </a:ext>
          </a:extLst>
        </xdr:cNvPr>
        <xdr:cNvSpPr/>
      </xdr:nvSpPr>
      <xdr:spPr>
        <a:xfrm>
          <a:off x="13503093292" y="125210277"/>
          <a:ext cx="2239108" cy="762000"/>
        </a:xfrm>
        <a:prstGeom prst="wedgeRoundRectCallout">
          <a:avLst>
            <a:gd name="adj1" fmla="val -66557"/>
            <a:gd name="adj2" fmla="val -7288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אתה</a:t>
          </a:r>
          <a:r>
            <a:rPr lang="he-IL" sz="1100" baseline="0"/>
            <a:t> מושחת אתה לא מביט על מודל זה הערכה מחדש, בתרגיל עשיתי אותו למעלה היה הערכה זה חדש</a:t>
          </a:r>
          <a:endParaRPr lang="en-US" sz="1100"/>
        </a:p>
      </xdr:txBody>
    </xdr:sp>
    <xdr:clientData/>
  </xdr:twoCellAnchor>
  <xdr:twoCellAnchor editAs="oneCell">
    <xdr:from>
      <xdr:col>7</xdr:col>
      <xdr:colOff>394678</xdr:colOff>
      <xdr:row>645</xdr:row>
      <xdr:rowOff>40402</xdr:rowOff>
    </xdr:from>
    <xdr:to>
      <xdr:col>9</xdr:col>
      <xdr:colOff>93785</xdr:colOff>
      <xdr:row>655</xdr:row>
      <xdr:rowOff>34191</xdr:rowOff>
    </xdr:to>
    <xdr:pic>
      <xdr:nvPicPr>
        <xdr:cNvPr id="101" name="Picture 100" descr="It's Tricky Tricky Tricky Tricky Funny Boo Ghost Halloween&quot; Essential  T-Shirt for Sale by kundtzgerrys | Redbubble">
          <a:extLst>
            <a:ext uri="{FF2B5EF4-FFF2-40B4-BE49-F238E27FC236}">
              <a16:creationId xmlns:a16="http://schemas.microsoft.com/office/drawing/2014/main" id="{08391411-D2E0-30C8-D074-65F20301C5A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501498954" y="127188894"/>
          <a:ext cx="1516184" cy="20257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500185</xdr:colOff>
      <xdr:row>662</xdr:row>
      <xdr:rowOff>7714</xdr:rowOff>
    </xdr:from>
    <xdr:to>
      <xdr:col>8</xdr:col>
      <xdr:colOff>690684</xdr:colOff>
      <xdr:row>668</xdr:row>
      <xdr:rowOff>40055</xdr:rowOff>
    </xdr:to>
    <xdr:pic>
      <xdr:nvPicPr>
        <xdr:cNvPr id="102" name="Picture 101" descr="Fair Value Measurements Amid the COVID-19 Crisis | Marcum LLP | Accountants  and Advisors">
          <a:extLst>
            <a:ext uri="{FF2B5EF4-FFF2-40B4-BE49-F238E27FC236}">
              <a16:creationId xmlns:a16="http://schemas.microsoft.com/office/drawing/2014/main" id="{AC793BE6-FD61-C509-4842-002B3E87F815}"/>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3501726578" y="130610606"/>
          <a:ext cx="2007576" cy="1251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566616</xdr:colOff>
      <xdr:row>683</xdr:row>
      <xdr:rowOff>20323</xdr:rowOff>
    </xdr:from>
    <xdr:to>
      <xdr:col>9</xdr:col>
      <xdr:colOff>248138</xdr:colOff>
      <xdr:row>693</xdr:row>
      <xdr:rowOff>104531</xdr:rowOff>
    </xdr:to>
    <xdr:pic>
      <xdr:nvPicPr>
        <xdr:cNvPr id="103" name="Picture 102" descr="Home Sweet Home With Cartoon Style Baby Fox In Ornament Scarf Funny Vector  Kids Illustration Royalty Free SVG, Cliparts, Vectors, and Stock  Illustration. Image 92656256.">
          <a:extLst>
            <a:ext uri="{FF2B5EF4-FFF2-40B4-BE49-F238E27FC236}">
              <a16:creationId xmlns:a16="http://schemas.microsoft.com/office/drawing/2014/main" id="{D26C149F-867A-BA21-EA13-523C6388A42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3501344601" y="134890415"/>
          <a:ext cx="1498599" cy="2116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539262</xdr:colOff>
      <xdr:row>688</xdr:row>
      <xdr:rowOff>66431</xdr:rowOff>
    </xdr:from>
    <xdr:to>
      <xdr:col>3</xdr:col>
      <xdr:colOff>539262</xdr:colOff>
      <xdr:row>689</xdr:row>
      <xdr:rowOff>199293</xdr:rowOff>
    </xdr:to>
    <xdr:cxnSp macro="">
      <xdr:nvCxnSpPr>
        <xdr:cNvPr id="105" name="Straight Arrow Connector 104">
          <a:extLst>
            <a:ext uri="{FF2B5EF4-FFF2-40B4-BE49-F238E27FC236}">
              <a16:creationId xmlns:a16="http://schemas.microsoft.com/office/drawing/2014/main" id="{3BEC9FA8-023F-7CEB-F2FE-5C1E275C7834}"/>
            </a:ext>
          </a:extLst>
        </xdr:cNvPr>
        <xdr:cNvCxnSpPr/>
      </xdr:nvCxnSpPr>
      <xdr:spPr>
        <a:xfrm>
          <a:off x="13506196000" y="135952523"/>
          <a:ext cx="0" cy="3360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89877</xdr:colOff>
      <xdr:row>691</xdr:row>
      <xdr:rowOff>42985</xdr:rowOff>
    </xdr:from>
    <xdr:to>
      <xdr:col>5</xdr:col>
      <xdr:colOff>425939</xdr:colOff>
      <xdr:row>696</xdr:row>
      <xdr:rowOff>7816</xdr:rowOff>
    </xdr:to>
    <xdr:cxnSp macro="">
      <xdr:nvCxnSpPr>
        <xdr:cNvPr id="106" name="Straight Arrow Connector 105">
          <a:extLst>
            <a:ext uri="{FF2B5EF4-FFF2-40B4-BE49-F238E27FC236}">
              <a16:creationId xmlns:a16="http://schemas.microsoft.com/office/drawing/2014/main" id="{596572A9-F90C-A4CB-3EC1-17ED00748F74}"/>
            </a:ext>
          </a:extLst>
        </xdr:cNvPr>
        <xdr:cNvCxnSpPr/>
      </xdr:nvCxnSpPr>
      <xdr:spPr>
        <a:xfrm flipH="1">
          <a:off x="13504660277" y="136538677"/>
          <a:ext cx="1160585" cy="98083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730739</xdr:colOff>
      <xdr:row>691</xdr:row>
      <xdr:rowOff>15631</xdr:rowOff>
    </xdr:from>
    <xdr:to>
      <xdr:col>3</xdr:col>
      <xdr:colOff>476739</xdr:colOff>
      <xdr:row>695</xdr:row>
      <xdr:rowOff>128954</xdr:rowOff>
    </xdr:to>
    <xdr:cxnSp macro="">
      <xdr:nvCxnSpPr>
        <xdr:cNvPr id="110" name="Straight Arrow Connector 109">
          <a:extLst>
            <a:ext uri="{FF2B5EF4-FFF2-40B4-BE49-F238E27FC236}">
              <a16:creationId xmlns:a16="http://schemas.microsoft.com/office/drawing/2014/main" id="{C9A1A4DC-748A-8BB7-52C7-4C34C034E13C}"/>
            </a:ext>
          </a:extLst>
        </xdr:cNvPr>
        <xdr:cNvCxnSpPr/>
      </xdr:nvCxnSpPr>
      <xdr:spPr>
        <a:xfrm>
          <a:off x="13506258523" y="136511323"/>
          <a:ext cx="1395046" cy="9261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339651</xdr:colOff>
      <xdr:row>233</xdr:row>
      <xdr:rowOff>151366</xdr:rowOff>
    </xdr:from>
    <xdr:to>
      <xdr:col>7</xdr:col>
      <xdr:colOff>908198</xdr:colOff>
      <xdr:row>233</xdr:row>
      <xdr:rowOff>162442</xdr:rowOff>
    </xdr:to>
    <xdr:cxnSp macro="">
      <xdr:nvCxnSpPr>
        <xdr:cNvPr id="4" name="Straight Arrow Connector 3">
          <a:extLst>
            <a:ext uri="{FF2B5EF4-FFF2-40B4-BE49-F238E27FC236}">
              <a16:creationId xmlns:a16="http://schemas.microsoft.com/office/drawing/2014/main" id="{B267DF12-A343-33CC-EFBE-875B3398D85C}"/>
            </a:ext>
          </a:extLst>
        </xdr:cNvPr>
        <xdr:cNvCxnSpPr/>
      </xdr:nvCxnSpPr>
      <xdr:spPr>
        <a:xfrm flipV="1">
          <a:off x="13542674535" y="47307500"/>
          <a:ext cx="6379535" cy="110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276890</xdr:colOff>
      <xdr:row>230</xdr:row>
      <xdr:rowOff>105220</xdr:rowOff>
    </xdr:from>
    <xdr:to>
      <xdr:col>7</xdr:col>
      <xdr:colOff>509477</xdr:colOff>
      <xdr:row>231</xdr:row>
      <xdr:rowOff>7389</xdr:rowOff>
    </xdr:to>
    <xdr:sp macro="" textlink="">
      <xdr:nvSpPr>
        <xdr:cNvPr id="22" name="Left Bracket 21">
          <a:extLst>
            <a:ext uri="{FF2B5EF4-FFF2-40B4-BE49-F238E27FC236}">
              <a16:creationId xmlns:a16="http://schemas.microsoft.com/office/drawing/2014/main" id="{A4FE63B3-2889-49DF-807E-F640FAE9D9E8}"/>
            </a:ext>
          </a:extLst>
        </xdr:cNvPr>
        <xdr:cNvSpPr/>
      </xdr:nvSpPr>
      <xdr:spPr>
        <a:xfrm rot="5400000">
          <a:off x="13545215456" y="44713049"/>
          <a:ext cx="105221" cy="4389622"/>
        </a:xfrm>
        <a:prstGeom prst="leftBracket">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532336</xdr:colOff>
      <xdr:row>444</xdr:row>
      <xdr:rowOff>3802</xdr:rowOff>
    </xdr:from>
    <xdr:to>
      <xdr:col>9</xdr:col>
      <xdr:colOff>532336</xdr:colOff>
      <xdr:row>444</xdr:row>
      <xdr:rowOff>190120</xdr:rowOff>
    </xdr:to>
    <xdr:cxnSp macro="">
      <xdr:nvCxnSpPr>
        <xdr:cNvPr id="31" name="Straight Arrow Connector 30">
          <a:extLst>
            <a:ext uri="{FF2B5EF4-FFF2-40B4-BE49-F238E27FC236}">
              <a16:creationId xmlns:a16="http://schemas.microsoft.com/office/drawing/2014/main" id="{AEB81E53-1F54-7515-79B6-969812A38544}"/>
            </a:ext>
          </a:extLst>
        </xdr:cNvPr>
        <xdr:cNvCxnSpPr/>
      </xdr:nvCxnSpPr>
      <xdr:spPr>
        <a:xfrm>
          <a:off x="13510830359" y="89759341"/>
          <a:ext cx="0" cy="1863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433474</xdr:colOff>
      <xdr:row>444</xdr:row>
      <xdr:rowOff>7604</xdr:rowOff>
    </xdr:from>
    <xdr:to>
      <xdr:col>8</xdr:col>
      <xdr:colOff>779491</xdr:colOff>
      <xdr:row>445</xdr:row>
      <xdr:rowOff>19012</xdr:rowOff>
    </xdr:to>
    <xdr:cxnSp macro="">
      <xdr:nvCxnSpPr>
        <xdr:cNvPr id="34" name="Straight Arrow Connector 33">
          <a:extLst>
            <a:ext uri="{FF2B5EF4-FFF2-40B4-BE49-F238E27FC236}">
              <a16:creationId xmlns:a16="http://schemas.microsoft.com/office/drawing/2014/main" id="{0D501DD1-11BD-5160-5640-9C2B687E5ABC}"/>
            </a:ext>
          </a:extLst>
        </xdr:cNvPr>
        <xdr:cNvCxnSpPr/>
      </xdr:nvCxnSpPr>
      <xdr:spPr>
        <a:xfrm>
          <a:off x="13511408324" y="89763143"/>
          <a:ext cx="346017" cy="2129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247912</xdr:colOff>
      <xdr:row>127</xdr:row>
      <xdr:rowOff>69398</xdr:rowOff>
    </xdr:from>
    <xdr:to>
      <xdr:col>5</xdr:col>
      <xdr:colOff>136875</xdr:colOff>
      <xdr:row>131</xdr:row>
      <xdr:rowOff>34698</xdr:rowOff>
    </xdr:to>
    <xdr:sp macro="" textlink="">
      <xdr:nvSpPr>
        <xdr:cNvPr id="2" name="Rounded Rectangle 1">
          <a:extLst>
            <a:ext uri="{FF2B5EF4-FFF2-40B4-BE49-F238E27FC236}">
              <a16:creationId xmlns:a16="http://schemas.microsoft.com/office/drawing/2014/main" id="{D3D0EBF3-5E61-4247-AFBA-1E872F5C9EF4}"/>
            </a:ext>
          </a:extLst>
        </xdr:cNvPr>
        <xdr:cNvSpPr/>
      </xdr:nvSpPr>
      <xdr:spPr>
        <a:xfrm>
          <a:off x="13520765725" y="26586998"/>
          <a:ext cx="1539963" cy="7781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זו מחויבות קיימת כתוצאה מאירוע שהתחולל בעבר</a:t>
          </a:r>
          <a:endParaRPr lang="en-US" sz="1100"/>
        </a:p>
      </xdr:txBody>
    </xdr:sp>
    <xdr:clientData/>
  </xdr:twoCellAnchor>
  <xdr:twoCellAnchor>
    <xdr:from>
      <xdr:col>0</xdr:col>
      <xdr:colOff>594906</xdr:colOff>
      <xdr:row>133</xdr:row>
      <xdr:rowOff>173498</xdr:rowOff>
    </xdr:from>
    <xdr:to>
      <xdr:col>2</xdr:col>
      <xdr:colOff>483868</xdr:colOff>
      <xdr:row>136</xdr:row>
      <xdr:rowOff>194318</xdr:rowOff>
    </xdr:to>
    <xdr:sp macro="" textlink="">
      <xdr:nvSpPr>
        <xdr:cNvPr id="3" name="Rounded Rectangle 2">
          <a:extLst>
            <a:ext uri="{FF2B5EF4-FFF2-40B4-BE49-F238E27FC236}">
              <a16:creationId xmlns:a16="http://schemas.microsoft.com/office/drawing/2014/main" id="{6969E06A-0670-434B-9763-64946A7DF899}"/>
            </a:ext>
          </a:extLst>
        </xdr:cNvPr>
        <xdr:cNvSpPr/>
      </xdr:nvSpPr>
      <xdr:spPr>
        <a:xfrm>
          <a:off x="13522895232" y="27910298"/>
          <a:ext cx="1539962"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נוצרת יציאה צפויה של הטבות כלכליות</a:t>
          </a:r>
          <a:endParaRPr lang="en-US" sz="1100"/>
        </a:p>
      </xdr:txBody>
    </xdr:sp>
    <xdr:clientData/>
  </xdr:twoCellAnchor>
  <xdr:twoCellAnchor>
    <xdr:from>
      <xdr:col>0</xdr:col>
      <xdr:colOff>622666</xdr:colOff>
      <xdr:row>139</xdr:row>
      <xdr:rowOff>166557</xdr:rowOff>
    </xdr:from>
    <xdr:to>
      <xdr:col>2</xdr:col>
      <xdr:colOff>511628</xdr:colOff>
      <xdr:row>142</xdr:row>
      <xdr:rowOff>187377</xdr:rowOff>
    </xdr:to>
    <xdr:sp macro="" textlink="">
      <xdr:nvSpPr>
        <xdr:cNvPr id="4" name="Rounded Rectangle 3">
          <a:extLst>
            <a:ext uri="{FF2B5EF4-FFF2-40B4-BE49-F238E27FC236}">
              <a16:creationId xmlns:a16="http://schemas.microsoft.com/office/drawing/2014/main" id="{A67ACB0D-D9EF-AA43-A1F8-1C4D15819954}"/>
            </a:ext>
          </a:extLst>
        </xdr:cNvPr>
        <xdr:cNvSpPr/>
      </xdr:nvSpPr>
      <xdr:spPr>
        <a:xfrm>
          <a:off x="13522867472" y="29122557"/>
          <a:ext cx="1539962"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ניתן לאמוד</a:t>
          </a:r>
          <a:r>
            <a:rPr lang="he-IL" sz="1100" baseline="0"/>
            <a:t> מהימנה את ההטבות הכלכליות?</a:t>
          </a:r>
          <a:endParaRPr lang="en-US" sz="1100"/>
        </a:p>
      </xdr:txBody>
    </xdr:sp>
    <xdr:clientData/>
  </xdr:twoCellAnchor>
  <xdr:twoCellAnchor>
    <xdr:from>
      <xdr:col>0</xdr:col>
      <xdr:colOff>532448</xdr:colOff>
      <xdr:row>145</xdr:row>
      <xdr:rowOff>201256</xdr:rowOff>
    </xdr:from>
    <xdr:to>
      <xdr:col>2</xdr:col>
      <xdr:colOff>421410</xdr:colOff>
      <xdr:row>149</xdr:row>
      <xdr:rowOff>20819</xdr:rowOff>
    </xdr:to>
    <xdr:sp macro="" textlink="">
      <xdr:nvSpPr>
        <xdr:cNvPr id="5" name="Rounded Rectangle 4">
          <a:extLst>
            <a:ext uri="{FF2B5EF4-FFF2-40B4-BE49-F238E27FC236}">
              <a16:creationId xmlns:a16="http://schemas.microsoft.com/office/drawing/2014/main" id="{23F1CE53-A8C0-404C-BB8D-361EED5DF4A3}"/>
            </a:ext>
          </a:extLst>
        </xdr:cNvPr>
        <xdr:cNvSpPr/>
      </xdr:nvSpPr>
      <xdr:spPr>
        <a:xfrm>
          <a:off x="13522957690" y="30376456"/>
          <a:ext cx="1539962" cy="632363"/>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להכיר בהפרשה</a:t>
          </a:r>
          <a:endParaRPr lang="en-US" sz="1100"/>
        </a:p>
      </xdr:txBody>
    </xdr:sp>
    <xdr:clientData/>
  </xdr:twoCellAnchor>
  <xdr:twoCellAnchor>
    <xdr:from>
      <xdr:col>4</xdr:col>
      <xdr:colOff>867969</xdr:colOff>
      <xdr:row>133</xdr:row>
      <xdr:rowOff>144023</xdr:rowOff>
    </xdr:from>
    <xdr:to>
      <xdr:col>7</xdr:col>
      <xdr:colOff>486277</xdr:colOff>
      <xdr:row>137</xdr:row>
      <xdr:rowOff>176291</xdr:rowOff>
    </xdr:to>
    <xdr:sp macro="" textlink="">
      <xdr:nvSpPr>
        <xdr:cNvPr id="6" name="Rounded Rectangle 5">
          <a:extLst>
            <a:ext uri="{FF2B5EF4-FFF2-40B4-BE49-F238E27FC236}">
              <a16:creationId xmlns:a16="http://schemas.microsoft.com/office/drawing/2014/main" id="{1BB4BB52-FBFF-E643-8F90-584B72B414AB}"/>
            </a:ext>
          </a:extLst>
        </xdr:cNvPr>
        <xdr:cNvSpPr/>
      </xdr:nvSpPr>
      <xdr:spPr>
        <a:xfrm>
          <a:off x="13522197089" y="27337950"/>
          <a:ext cx="2145734" cy="837021"/>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זו מחויבות פוטנציאלית - האירוע שיוצר את עצם המחויבות טרם הושלם (הליך חקיקה שאם יושלם יחייב את החברה ביציאה)</a:t>
          </a:r>
          <a:endParaRPr lang="en-US" sz="1100"/>
        </a:p>
      </xdr:txBody>
    </xdr:sp>
    <xdr:clientData/>
  </xdr:twoCellAnchor>
  <xdr:twoCellAnchor>
    <xdr:from>
      <xdr:col>4</xdr:col>
      <xdr:colOff>32778</xdr:colOff>
      <xdr:row>140</xdr:row>
      <xdr:rowOff>6941</xdr:rowOff>
    </xdr:from>
    <xdr:to>
      <xdr:col>5</xdr:col>
      <xdr:colOff>747587</xdr:colOff>
      <xdr:row>143</xdr:row>
      <xdr:rowOff>27761</xdr:rowOff>
    </xdr:to>
    <xdr:sp macro="" textlink="">
      <xdr:nvSpPr>
        <xdr:cNvPr id="7" name="Rounded Rectangle 6">
          <a:extLst>
            <a:ext uri="{FF2B5EF4-FFF2-40B4-BE49-F238E27FC236}">
              <a16:creationId xmlns:a16="http://schemas.microsoft.com/office/drawing/2014/main" id="{26D997AF-71D8-734D-ACAE-9B83A4846671}"/>
            </a:ext>
          </a:extLst>
        </xdr:cNvPr>
        <xdr:cNvSpPr/>
      </xdr:nvSpPr>
      <xdr:spPr>
        <a:xfrm>
          <a:off x="13520155013" y="29166141"/>
          <a:ext cx="1540309"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הסיכוי</a:t>
          </a:r>
          <a:r>
            <a:rPr lang="he-IL" sz="1100" baseline="0"/>
            <a:t> להתממשות קלוש?</a:t>
          </a:r>
          <a:endParaRPr lang="en-US" sz="1100"/>
        </a:p>
      </xdr:txBody>
    </xdr:sp>
    <xdr:clientData/>
  </xdr:twoCellAnchor>
  <xdr:twoCellAnchor>
    <xdr:from>
      <xdr:col>3</xdr:col>
      <xdr:colOff>324251</xdr:colOff>
      <xdr:row>145</xdr:row>
      <xdr:rowOff>173499</xdr:rowOff>
    </xdr:from>
    <xdr:to>
      <xdr:col>5</xdr:col>
      <xdr:colOff>213214</xdr:colOff>
      <xdr:row>148</xdr:row>
      <xdr:rowOff>194319</xdr:rowOff>
    </xdr:to>
    <xdr:sp macro="" textlink="">
      <xdr:nvSpPr>
        <xdr:cNvPr id="8" name="Rounded Rectangle 7">
          <a:extLst>
            <a:ext uri="{FF2B5EF4-FFF2-40B4-BE49-F238E27FC236}">
              <a16:creationId xmlns:a16="http://schemas.microsoft.com/office/drawing/2014/main" id="{4E66A34C-EBCA-2242-B556-E8F757325C90}"/>
            </a:ext>
          </a:extLst>
        </xdr:cNvPr>
        <xdr:cNvSpPr/>
      </xdr:nvSpPr>
      <xdr:spPr>
        <a:xfrm>
          <a:off x="13520689386" y="30348699"/>
          <a:ext cx="1539963"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להעניק</a:t>
          </a:r>
          <a:r>
            <a:rPr lang="he-IL" sz="1100" baseline="0"/>
            <a:t> גילוי</a:t>
          </a:r>
          <a:endParaRPr lang="en-US" sz="1100"/>
        </a:p>
      </xdr:txBody>
    </xdr:sp>
    <xdr:clientData/>
  </xdr:twoCellAnchor>
  <xdr:twoCellAnchor>
    <xdr:from>
      <xdr:col>5</xdr:col>
      <xdr:colOff>504690</xdr:colOff>
      <xdr:row>145</xdr:row>
      <xdr:rowOff>173499</xdr:rowOff>
    </xdr:from>
    <xdr:to>
      <xdr:col>7</xdr:col>
      <xdr:colOff>393653</xdr:colOff>
      <xdr:row>148</xdr:row>
      <xdr:rowOff>194319</xdr:rowOff>
    </xdr:to>
    <xdr:sp macro="" textlink="">
      <xdr:nvSpPr>
        <xdr:cNvPr id="9" name="Rounded Rectangle 8">
          <a:extLst>
            <a:ext uri="{FF2B5EF4-FFF2-40B4-BE49-F238E27FC236}">
              <a16:creationId xmlns:a16="http://schemas.microsoft.com/office/drawing/2014/main" id="{22A3FBF9-EC7D-BA43-884A-D55A58626965}"/>
            </a:ext>
          </a:extLst>
        </xdr:cNvPr>
        <xdr:cNvSpPr/>
      </xdr:nvSpPr>
      <xdr:spPr>
        <a:xfrm>
          <a:off x="13518857947" y="30348699"/>
          <a:ext cx="1539963" cy="63042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ללא</a:t>
          </a:r>
          <a:r>
            <a:rPr lang="he-IL" sz="1100" baseline="0"/>
            <a:t> הצגה וללא גילוי</a:t>
          </a:r>
          <a:endParaRPr lang="en-US" sz="1100"/>
        </a:p>
      </xdr:txBody>
    </xdr:sp>
    <xdr:clientData/>
  </xdr:twoCellAnchor>
  <xdr:twoCellAnchor>
    <xdr:from>
      <xdr:col>2</xdr:col>
      <xdr:colOff>310373</xdr:colOff>
      <xdr:row>131</xdr:row>
      <xdr:rowOff>6940</xdr:rowOff>
    </xdr:from>
    <xdr:to>
      <xdr:col>3</xdr:col>
      <xdr:colOff>331192</xdr:colOff>
      <xdr:row>133</xdr:row>
      <xdr:rowOff>145738</xdr:rowOff>
    </xdr:to>
    <xdr:cxnSp macro="">
      <xdr:nvCxnSpPr>
        <xdr:cNvPr id="10" name="Straight Arrow Connector 9">
          <a:extLst>
            <a:ext uri="{FF2B5EF4-FFF2-40B4-BE49-F238E27FC236}">
              <a16:creationId xmlns:a16="http://schemas.microsoft.com/office/drawing/2014/main" id="{ADEAF0EB-D771-5E48-BC40-A1D4A9D5327B}"/>
            </a:ext>
          </a:extLst>
        </xdr:cNvPr>
        <xdr:cNvCxnSpPr/>
      </xdr:nvCxnSpPr>
      <xdr:spPr>
        <a:xfrm>
          <a:off x="13522222408" y="27337340"/>
          <a:ext cx="846319" cy="54519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567147</xdr:colOff>
      <xdr:row>136</xdr:row>
      <xdr:rowOff>201256</xdr:rowOff>
    </xdr:from>
    <xdr:to>
      <xdr:col>1</xdr:col>
      <xdr:colOff>587968</xdr:colOff>
      <xdr:row>139</xdr:row>
      <xdr:rowOff>166557</xdr:rowOff>
    </xdr:to>
    <xdr:cxnSp macro="">
      <xdr:nvCxnSpPr>
        <xdr:cNvPr id="11" name="Straight Arrow Connector 10">
          <a:extLst>
            <a:ext uri="{FF2B5EF4-FFF2-40B4-BE49-F238E27FC236}">
              <a16:creationId xmlns:a16="http://schemas.microsoft.com/office/drawing/2014/main" id="{43906F7B-2352-864B-B0AB-0E266D59A431}"/>
            </a:ext>
          </a:extLst>
        </xdr:cNvPr>
        <xdr:cNvCxnSpPr>
          <a:endCxn id="4" idx="0"/>
        </xdr:cNvCxnSpPr>
      </xdr:nvCxnSpPr>
      <xdr:spPr>
        <a:xfrm>
          <a:off x="13523616632" y="28547656"/>
          <a:ext cx="20821" cy="5749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504688</xdr:colOff>
      <xdr:row>142</xdr:row>
      <xdr:rowOff>194317</xdr:rowOff>
    </xdr:from>
    <xdr:to>
      <xdr:col>1</xdr:col>
      <xdr:colOff>525509</xdr:colOff>
      <xdr:row>145</xdr:row>
      <xdr:rowOff>159617</xdr:rowOff>
    </xdr:to>
    <xdr:cxnSp macro="">
      <xdr:nvCxnSpPr>
        <xdr:cNvPr id="12" name="Straight Arrow Connector 11">
          <a:extLst>
            <a:ext uri="{FF2B5EF4-FFF2-40B4-BE49-F238E27FC236}">
              <a16:creationId xmlns:a16="http://schemas.microsoft.com/office/drawing/2014/main" id="{1BE7EE57-C89D-CC49-9465-C7612789D6DB}"/>
            </a:ext>
          </a:extLst>
        </xdr:cNvPr>
        <xdr:cNvCxnSpPr/>
      </xdr:nvCxnSpPr>
      <xdr:spPr>
        <a:xfrm>
          <a:off x="13523679091" y="29759917"/>
          <a:ext cx="20821" cy="57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712887</xdr:colOff>
      <xdr:row>131</xdr:row>
      <xdr:rowOff>27760</xdr:rowOff>
    </xdr:from>
    <xdr:to>
      <xdr:col>5</xdr:col>
      <xdr:colOff>775347</xdr:colOff>
      <xdr:row>133</xdr:row>
      <xdr:rowOff>166557</xdr:rowOff>
    </xdr:to>
    <xdr:cxnSp macro="">
      <xdr:nvCxnSpPr>
        <xdr:cNvPr id="13" name="Straight Arrow Connector 12">
          <a:extLst>
            <a:ext uri="{FF2B5EF4-FFF2-40B4-BE49-F238E27FC236}">
              <a16:creationId xmlns:a16="http://schemas.microsoft.com/office/drawing/2014/main" id="{C6973084-4F69-F841-AC50-1E00F3826E48}"/>
            </a:ext>
          </a:extLst>
        </xdr:cNvPr>
        <xdr:cNvCxnSpPr/>
      </xdr:nvCxnSpPr>
      <xdr:spPr>
        <a:xfrm flipH="1">
          <a:off x="13520127253" y="27358160"/>
          <a:ext cx="887960" cy="54519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796166</xdr:colOff>
      <xdr:row>136</xdr:row>
      <xdr:rowOff>145738</xdr:rowOff>
    </xdr:from>
    <xdr:to>
      <xdr:col>6</xdr:col>
      <xdr:colOff>810045</xdr:colOff>
      <xdr:row>145</xdr:row>
      <xdr:rowOff>194317</xdr:rowOff>
    </xdr:to>
    <xdr:cxnSp macro="">
      <xdr:nvCxnSpPr>
        <xdr:cNvPr id="14" name="Straight Arrow Connector 13">
          <a:extLst>
            <a:ext uri="{FF2B5EF4-FFF2-40B4-BE49-F238E27FC236}">
              <a16:creationId xmlns:a16="http://schemas.microsoft.com/office/drawing/2014/main" id="{9E108C73-B988-ED47-9706-D555F27E75FF}"/>
            </a:ext>
          </a:extLst>
        </xdr:cNvPr>
        <xdr:cNvCxnSpPr/>
      </xdr:nvCxnSpPr>
      <xdr:spPr>
        <a:xfrm>
          <a:off x="13519267055" y="28492138"/>
          <a:ext cx="13879" cy="18773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447506</xdr:colOff>
      <xdr:row>137</xdr:row>
      <xdr:rowOff>50297</xdr:rowOff>
    </xdr:from>
    <xdr:to>
      <xdr:col>4</xdr:col>
      <xdr:colOff>850858</xdr:colOff>
      <xdr:row>140</xdr:row>
      <xdr:rowOff>32341</xdr:rowOff>
    </xdr:to>
    <xdr:cxnSp macro="">
      <xdr:nvCxnSpPr>
        <xdr:cNvPr id="15" name="Straight Arrow Connector 14">
          <a:extLst>
            <a:ext uri="{FF2B5EF4-FFF2-40B4-BE49-F238E27FC236}">
              <a16:creationId xmlns:a16="http://schemas.microsoft.com/office/drawing/2014/main" id="{1B926437-83C8-A746-837F-75BD487D0FF5}"/>
            </a:ext>
          </a:extLst>
        </xdr:cNvPr>
        <xdr:cNvCxnSpPr/>
      </xdr:nvCxnSpPr>
      <xdr:spPr>
        <a:xfrm>
          <a:off x="13524359934" y="28048977"/>
          <a:ext cx="403352" cy="5856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282614</xdr:colOff>
      <xdr:row>143</xdr:row>
      <xdr:rowOff>20820</xdr:rowOff>
    </xdr:from>
    <xdr:to>
      <xdr:col>6</xdr:col>
      <xdr:colOff>46658</xdr:colOff>
      <xdr:row>145</xdr:row>
      <xdr:rowOff>173497</xdr:rowOff>
    </xdr:to>
    <xdr:cxnSp macro="">
      <xdr:nvCxnSpPr>
        <xdr:cNvPr id="16" name="Straight Arrow Connector 15">
          <a:extLst>
            <a:ext uri="{FF2B5EF4-FFF2-40B4-BE49-F238E27FC236}">
              <a16:creationId xmlns:a16="http://schemas.microsoft.com/office/drawing/2014/main" id="{29665A8C-7811-F84C-B0DF-589B5C772A0F}"/>
            </a:ext>
          </a:extLst>
        </xdr:cNvPr>
        <xdr:cNvCxnSpPr/>
      </xdr:nvCxnSpPr>
      <xdr:spPr>
        <a:xfrm flipH="1">
          <a:off x="13520030442" y="29789620"/>
          <a:ext cx="589544" cy="5590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268733</xdr:colOff>
      <xdr:row>143</xdr:row>
      <xdr:rowOff>6941</xdr:rowOff>
    </xdr:from>
    <xdr:to>
      <xdr:col>4</xdr:col>
      <xdr:colOff>823924</xdr:colOff>
      <xdr:row>145</xdr:row>
      <xdr:rowOff>173499</xdr:rowOff>
    </xdr:to>
    <xdr:cxnSp macro="">
      <xdr:nvCxnSpPr>
        <xdr:cNvPr id="17" name="Straight Arrow Connector 16">
          <a:extLst>
            <a:ext uri="{FF2B5EF4-FFF2-40B4-BE49-F238E27FC236}">
              <a16:creationId xmlns:a16="http://schemas.microsoft.com/office/drawing/2014/main" id="{84E50B7E-7B4D-474C-99F3-FA50ACE82FB3}"/>
            </a:ext>
          </a:extLst>
        </xdr:cNvPr>
        <xdr:cNvCxnSpPr>
          <a:endCxn id="8" idx="0"/>
        </xdr:cNvCxnSpPr>
      </xdr:nvCxnSpPr>
      <xdr:spPr>
        <a:xfrm>
          <a:off x="13520904176" y="29775741"/>
          <a:ext cx="555191" cy="57295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768406</xdr:colOff>
      <xdr:row>127</xdr:row>
      <xdr:rowOff>83279</xdr:rowOff>
    </xdr:from>
    <xdr:to>
      <xdr:col>16381</xdr:col>
      <xdr:colOff>400592</xdr:colOff>
      <xdr:row>130</xdr:row>
      <xdr:rowOff>76338</xdr:rowOff>
    </xdr:to>
    <xdr:sp macro="" textlink="">
      <xdr:nvSpPr>
        <xdr:cNvPr id="18" name="Rectangle 17">
          <a:extLst>
            <a:ext uri="{FF2B5EF4-FFF2-40B4-BE49-F238E27FC236}">
              <a16:creationId xmlns:a16="http://schemas.microsoft.com/office/drawing/2014/main" id="{9F2A8D09-6238-E14E-AFCD-F93F1EF97DA3}"/>
            </a:ext>
          </a:extLst>
        </xdr:cNvPr>
        <xdr:cNvSpPr/>
      </xdr:nvSpPr>
      <xdr:spPr>
        <a:xfrm>
          <a:off x="2075908" y="26600879"/>
          <a:ext cx="2108686"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a:t>
          </a:r>
          <a:r>
            <a:rPr lang="he-IL" sz="1100" baseline="0"/>
            <a:t> קיימת מחויבות בהווה כתוצאה מאירוע מחייב בעבר</a:t>
          </a:r>
          <a:endParaRPr lang="en-US" sz="1100"/>
        </a:p>
      </xdr:txBody>
    </xdr:sp>
    <xdr:clientData/>
  </xdr:twoCellAnchor>
  <xdr:twoCellAnchor>
    <xdr:from>
      <xdr:col>16380</xdr:col>
      <xdr:colOff>275674</xdr:colOff>
      <xdr:row>133</xdr:row>
      <xdr:rowOff>34700</xdr:rowOff>
    </xdr:from>
    <xdr:to>
      <xdr:col>16382</xdr:col>
      <xdr:colOff>733707</xdr:colOff>
      <xdr:row>136</xdr:row>
      <xdr:rowOff>27759</xdr:rowOff>
    </xdr:to>
    <xdr:sp macro="" textlink="">
      <xdr:nvSpPr>
        <xdr:cNvPr id="19" name="Rectangle 18">
          <a:extLst>
            <a:ext uri="{FF2B5EF4-FFF2-40B4-BE49-F238E27FC236}">
              <a16:creationId xmlns:a16="http://schemas.microsoft.com/office/drawing/2014/main" id="{BF6F5AF1-ED40-D044-A4EB-952B78D72698}"/>
            </a:ext>
          </a:extLst>
        </xdr:cNvPr>
        <xdr:cNvSpPr/>
      </xdr:nvSpPr>
      <xdr:spPr>
        <a:xfrm>
          <a:off x="917293" y="27771500"/>
          <a:ext cx="2109033"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צפויה יציאה של הטבות כלכליות?</a:t>
          </a:r>
          <a:endParaRPr lang="en-US" sz="1100"/>
        </a:p>
      </xdr:txBody>
    </xdr:sp>
    <xdr:clientData/>
  </xdr:twoCellAnchor>
  <xdr:twoCellAnchor>
    <xdr:from>
      <xdr:col>16380</xdr:col>
      <xdr:colOff>823925</xdr:colOff>
      <xdr:row>139</xdr:row>
      <xdr:rowOff>145738</xdr:rowOff>
    </xdr:from>
    <xdr:to>
      <xdr:col>16383</xdr:col>
      <xdr:colOff>456111</xdr:colOff>
      <xdr:row>142</xdr:row>
      <xdr:rowOff>138798</xdr:rowOff>
    </xdr:to>
    <xdr:sp macro="" textlink="">
      <xdr:nvSpPr>
        <xdr:cNvPr id="20" name="Rectangle 19">
          <a:extLst>
            <a:ext uri="{FF2B5EF4-FFF2-40B4-BE49-F238E27FC236}">
              <a16:creationId xmlns:a16="http://schemas.microsoft.com/office/drawing/2014/main" id="{48E1C865-7B0F-2446-9C5A-F806B47B96EE}"/>
            </a:ext>
          </a:extLst>
        </xdr:cNvPr>
        <xdr:cNvSpPr/>
      </xdr:nvSpPr>
      <xdr:spPr>
        <a:xfrm>
          <a:off x="369389" y="29101738"/>
          <a:ext cx="2108686"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ניתן לאמוד מהימנה את סכום היציאה?</a:t>
          </a:r>
          <a:endParaRPr lang="en-US" sz="1100"/>
        </a:p>
      </xdr:txBody>
    </xdr:sp>
    <xdr:clientData/>
  </xdr:twoCellAnchor>
  <xdr:twoCellAnchor>
    <xdr:from>
      <xdr:col>16381</xdr:col>
      <xdr:colOff>136876</xdr:colOff>
      <xdr:row>145</xdr:row>
      <xdr:rowOff>124918</xdr:rowOff>
    </xdr:from>
    <xdr:to>
      <xdr:col>16383</xdr:col>
      <xdr:colOff>594909</xdr:colOff>
      <xdr:row>148</xdr:row>
      <xdr:rowOff>117978</xdr:rowOff>
    </xdr:to>
    <xdr:sp macro="" textlink="">
      <xdr:nvSpPr>
        <xdr:cNvPr id="21" name="Rectangle 20">
          <a:extLst>
            <a:ext uri="{FF2B5EF4-FFF2-40B4-BE49-F238E27FC236}">
              <a16:creationId xmlns:a16="http://schemas.microsoft.com/office/drawing/2014/main" id="{124C438E-40DB-DC44-9A5F-CCB3AF57E1B0}"/>
            </a:ext>
          </a:extLst>
        </xdr:cNvPr>
        <xdr:cNvSpPr/>
      </xdr:nvSpPr>
      <xdr:spPr>
        <a:xfrm>
          <a:off x="230591" y="30300118"/>
          <a:ext cx="210903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להכיר בהפרשה</a:t>
          </a:r>
          <a:endParaRPr lang="en-US" sz="1100"/>
        </a:p>
      </xdr:txBody>
    </xdr:sp>
    <xdr:clientData/>
  </xdr:twoCellAnchor>
  <xdr:twoCellAnchor>
    <xdr:from>
      <xdr:col>16377</xdr:col>
      <xdr:colOff>358953</xdr:colOff>
      <xdr:row>133</xdr:row>
      <xdr:rowOff>27760</xdr:rowOff>
    </xdr:from>
    <xdr:to>
      <xdr:col>16379</xdr:col>
      <xdr:colOff>816987</xdr:colOff>
      <xdr:row>136</xdr:row>
      <xdr:rowOff>20819</xdr:rowOff>
    </xdr:to>
    <xdr:sp macro="" textlink="">
      <xdr:nvSpPr>
        <xdr:cNvPr id="22" name="Rectangle 21">
          <a:extLst>
            <a:ext uri="{FF2B5EF4-FFF2-40B4-BE49-F238E27FC236}">
              <a16:creationId xmlns:a16="http://schemas.microsoft.com/office/drawing/2014/main" id="{A56D4204-D71D-0E44-8D9C-BC72E163E4A1}"/>
            </a:ext>
          </a:extLst>
        </xdr:cNvPr>
        <xdr:cNvSpPr/>
      </xdr:nvSpPr>
      <xdr:spPr>
        <a:xfrm>
          <a:off x="3310513" y="27764560"/>
          <a:ext cx="2109034" cy="60265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זו מחויבות אפשרית / פוטנציאלית?</a:t>
          </a:r>
          <a:endParaRPr lang="en-US" sz="1100"/>
        </a:p>
      </xdr:txBody>
    </xdr:sp>
    <xdr:clientData/>
  </xdr:twoCellAnchor>
  <xdr:twoCellAnchor>
    <xdr:from>
      <xdr:col>16378</xdr:col>
      <xdr:colOff>39718</xdr:colOff>
      <xdr:row>139</xdr:row>
      <xdr:rowOff>131858</xdr:rowOff>
    </xdr:from>
    <xdr:to>
      <xdr:col>16380</xdr:col>
      <xdr:colOff>497751</xdr:colOff>
      <xdr:row>142</xdr:row>
      <xdr:rowOff>124918</xdr:rowOff>
    </xdr:to>
    <xdr:sp macro="" textlink="">
      <xdr:nvSpPr>
        <xdr:cNvPr id="23" name="Rectangle 22">
          <a:extLst>
            <a:ext uri="{FF2B5EF4-FFF2-40B4-BE49-F238E27FC236}">
              <a16:creationId xmlns:a16="http://schemas.microsoft.com/office/drawing/2014/main" id="{42F03A2D-21FE-244B-97E7-9AB027B27163}"/>
            </a:ext>
          </a:extLst>
        </xdr:cNvPr>
        <xdr:cNvSpPr/>
      </xdr:nvSpPr>
      <xdr:spPr>
        <a:xfrm>
          <a:off x="2804249" y="29087858"/>
          <a:ext cx="210903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האם הסתברות ההתרחשות קלושה?</a:t>
          </a:r>
          <a:endParaRPr lang="en-US" sz="1100"/>
        </a:p>
      </xdr:txBody>
    </xdr:sp>
    <xdr:clientData/>
  </xdr:twoCellAnchor>
  <xdr:twoCellAnchor>
    <xdr:from>
      <xdr:col>16376</xdr:col>
      <xdr:colOff>185458</xdr:colOff>
      <xdr:row>145</xdr:row>
      <xdr:rowOff>166557</xdr:rowOff>
    </xdr:from>
    <xdr:to>
      <xdr:col>16378</xdr:col>
      <xdr:colOff>567151</xdr:colOff>
      <xdr:row>148</xdr:row>
      <xdr:rowOff>159617</xdr:rowOff>
    </xdr:to>
    <xdr:sp macro="" textlink="">
      <xdr:nvSpPr>
        <xdr:cNvPr id="24" name="Rectangle 23">
          <a:extLst>
            <a:ext uri="{FF2B5EF4-FFF2-40B4-BE49-F238E27FC236}">
              <a16:creationId xmlns:a16="http://schemas.microsoft.com/office/drawing/2014/main" id="{1BD670F3-7F54-8345-ABF0-205778296C43}"/>
            </a:ext>
          </a:extLst>
        </xdr:cNvPr>
        <xdr:cNvSpPr/>
      </xdr:nvSpPr>
      <xdr:spPr>
        <a:xfrm>
          <a:off x="4385849" y="30341757"/>
          <a:ext cx="2032693"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 הצגה</a:t>
          </a:r>
          <a:r>
            <a:rPr lang="he-IL" sz="1100" baseline="0"/>
            <a:t> ואין גילוי</a:t>
          </a:r>
          <a:endParaRPr lang="en-US" sz="1100"/>
        </a:p>
      </xdr:txBody>
    </xdr:sp>
    <xdr:clientData/>
  </xdr:twoCellAnchor>
  <xdr:twoCellAnchor>
    <xdr:from>
      <xdr:col>16378</xdr:col>
      <xdr:colOff>726768</xdr:colOff>
      <xdr:row>145</xdr:row>
      <xdr:rowOff>145738</xdr:rowOff>
    </xdr:from>
    <xdr:to>
      <xdr:col>16380</xdr:col>
      <xdr:colOff>407532</xdr:colOff>
      <xdr:row>148</xdr:row>
      <xdr:rowOff>138798</xdr:rowOff>
    </xdr:to>
    <xdr:sp macro="" textlink="">
      <xdr:nvSpPr>
        <xdr:cNvPr id="25" name="Rectangle 24">
          <a:extLst>
            <a:ext uri="{FF2B5EF4-FFF2-40B4-BE49-F238E27FC236}">
              <a16:creationId xmlns:a16="http://schemas.microsoft.com/office/drawing/2014/main" id="{5EE8B49E-EB5B-7B47-A4C1-D6B3CD14DAB7}"/>
            </a:ext>
          </a:extLst>
        </xdr:cNvPr>
        <xdr:cNvSpPr/>
      </xdr:nvSpPr>
      <xdr:spPr>
        <a:xfrm>
          <a:off x="2894468" y="30320938"/>
          <a:ext cx="1331764" cy="60266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יש להעניק גילוי</a:t>
          </a:r>
          <a:endParaRPr lang="en-US" sz="1100"/>
        </a:p>
      </xdr:txBody>
    </xdr:sp>
    <xdr:clientData/>
  </xdr:twoCellAnchor>
  <xdr:twoCellAnchor>
    <xdr:from>
      <xdr:col>16379</xdr:col>
      <xdr:colOff>254855</xdr:colOff>
      <xdr:row>130</xdr:row>
      <xdr:rowOff>104098</xdr:rowOff>
    </xdr:from>
    <xdr:to>
      <xdr:col>16379</xdr:col>
      <xdr:colOff>726768</xdr:colOff>
      <xdr:row>132</xdr:row>
      <xdr:rowOff>138798</xdr:rowOff>
    </xdr:to>
    <xdr:cxnSp macro="">
      <xdr:nvCxnSpPr>
        <xdr:cNvPr id="26" name="Straight Arrow Connector 25">
          <a:extLst>
            <a:ext uri="{FF2B5EF4-FFF2-40B4-BE49-F238E27FC236}">
              <a16:creationId xmlns:a16="http://schemas.microsoft.com/office/drawing/2014/main" id="{56FDDA4B-5AE4-D644-AFE3-DB67B269FCC0}"/>
            </a:ext>
          </a:extLst>
        </xdr:cNvPr>
        <xdr:cNvCxnSpPr/>
      </xdr:nvCxnSpPr>
      <xdr:spPr>
        <a:xfrm flipH="1">
          <a:off x="3400732" y="27231298"/>
          <a:ext cx="471913" cy="4411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16381</xdr:col>
      <xdr:colOff>5019</xdr:colOff>
      <xdr:row>130</xdr:row>
      <xdr:rowOff>104098</xdr:rowOff>
    </xdr:from>
    <xdr:to>
      <xdr:col>16381</xdr:col>
      <xdr:colOff>525510</xdr:colOff>
      <xdr:row>132</xdr:row>
      <xdr:rowOff>173497</xdr:rowOff>
    </xdr:to>
    <xdr:cxnSp macro="">
      <xdr:nvCxnSpPr>
        <xdr:cNvPr id="27" name="Straight Arrow Connector 26">
          <a:extLst>
            <a:ext uri="{FF2B5EF4-FFF2-40B4-BE49-F238E27FC236}">
              <a16:creationId xmlns:a16="http://schemas.microsoft.com/office/drawing/2014/main" id="{09A9F231-E0BB-8E49-924D-8370FF89E4EB}"/>
            </a:ext>
          </a:extLst>
        </xdr:cNvPr>
        <xdr:cNvCxnSpPr/>
      </xdr:nvCxnSpPr>
      <xdr:spPr>
        <a:xfrm>
          <a:off x="1950990" y="27231298"/>
          <a:ext cx="520491" cy="4757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16381</xdr:col>
      <xdr:colOff>636549</xdr:colOff>
      <xdr:row>136</xdr:row>
      <xdr:rowOff>76338</xdr:rowOff>
    </xdr:from>
    <xdr:to>
      <xdr:col>16382</xdr:col>
      <xdr:colOff>331193</xdr:colOff>
      <xdr:row>138</xdr:row>
      <xdr:rowOff>145737</xdr:rowOff>
    </xdr:to>
    <xdr:cxnSp macro="">
      <xdr:nvCxnSpPr>
        <xdr:cNvPr id="28" name="Straight Arrow Connector 27">
          <a:extLst>
            <a:ext uri="{FF2B5EF4-FFF2-40B4-BE49-F238E27FC236}">
              <a16:creationId xmlns:a16="http://schemas.microsoft.com/office/drawing/2014/main" id="{5542428D-415A-E74B-8B66-CD35C7C63552}"/>
            </a:ext>
          </a:extLst>
        </xdr:cNvPr>
        <xdr:cNvCxnSpPr/>
      </xdr:nvCxnSpPr>
      <xdr:spPr>
        <a:xfrm>
          <a:off x="1319807" y="28422738"/>
          <a:ext cx="520144" cy="4757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16382</xdr:col>
      <xdr:colOff>39718</xdr:colOff>
      <xdr:row>142</xdr:row>
      <xdr:rowOff>97158</xdr:rowOff>
    </xdr:from>
    <xdr:to>
      <xdr:col>16382</xdr:col>
      <xdr:colOff>46658</xdr:colOff>
      <xdr:row>145</xdr:row>
      <xdr:rowOff>90219</xdr:rowOff>
    </xdr:to>
    <xdr:cxnSp macro="">
      <xdr:nvCxnSpPr>
        <xdr:cNvPr id="29" name="Straight Arrow Connector 28">
          <a:extLst>
            <a:ext uri="{FF2B5EF4-FFF2-40B4-BE49-F238E27FC236}">
              <a16:creationId xmlns:a16="http://schemas.microsoft.com/office/drawing/2014/main" id="{9D5014BF-F1C7-0E40-9AFB-859EC71E51AB}"/>
            </a:ext>
          </a:extLst>
        </xdr:cNvPr>
        <xdr:cNvCxnSpPr/>
      </xdr:nvCxnSpPr>
      <xdr:spPr>
        <a:xfrm>
          <a:off x="1604342" y="29662758"/>
          <a:ext cx="6940" cy="6026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803106</xdr:colOff>
      <xdr:row>136</xdr:row>
      <xdr:rowOff>34698</xdr:rowOff>
    </xdr:from>
    <xdr:to>
      <xdr:col>16379</xdr:col>
      <xdr:colOff>525511</xdr:colOff>
      <xdr:row>139</xdr:row>
      <xdr:rowOff>34699</xdr:rowOff>
    </xdr:to>
    <xdr:cxnSp macro="">
      <xdr:nvCxnSpPr>
        <xdr:cNvPr id="30" name="Straight Arrow Connector 29">
          <a:extLst>
            <a:ext uri="{FF2B5EF4-FFF2-40B4-BE49-F238E27FC236}">
              <a16:creationId xmlns:a16="http://schemas.microsoft.com/office/drawing/2014/main" id="{EC65472C-9092-0D46-8801-DE662FBA26A6}"/>
            </a:ext>
          </a:extLst>
        </xdr:cNvPr>
        <xdr:cNvCxnSpPr/>
      </xdr:nvCxnSpPr>
      <xdr:spPr>
        <a:xfrm>
          <a:off x="3601989" y="28381098"/>
          <a:ext cx="547905" cy="6096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16377</xdr:col>
      <xdr:colOff>358953</xdr:colOff>
      <xdr:row>136</xdr:row>
      <xdr:rowOff>20818</xdr:rowOff>
    </xdr:from>
    <xdr:to>
      <xdr:col>16377</xdr:col>
      <xdr:colOff>372833</xdr:colOff>
      <xdr:row>145</xdr:row>
      <xdr:rowOff>97158</xdr:rowOff>
    </xdr:to>
    <xdr:cxnSp macro="">
      <xdr:nvCxnSpPr>
        <xdr:cNvPr id="31" name="Straight Arrow Connector 30">
          <a:extLst>
            <a:ext uri="{FF2B5EF4-FFF2-40B4-BE49-F238E27FC236}">
              <a16:creationId xmlns:a16="http://schemas.microsoft.com/office/drawing/2014/main" id="{31C9E478-0B91-8747-96DA-98507894F6B8}"/>
            </a:ext>
          </a:extLst>
        </xdr:cNvPr>
        <xdr:cNvCxnSpPr/>
      </xdr:nvCxnSpPr>
      <xdr:spPr>
        <a:xfrm flipH="1">
          <a:off x="5405667" y="28367218"/>
          <a:ext cx="13880" cy="19051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16379</xdr:col>
      <xdr:colOff>726768</xdr:colOff>
      <xdr:row>142</xdr:row>
      <xdr:rowOff>138798</xdr:rowOff>
    </xdr:from>
    <xdr:to>
      <xdr:col>16379</xdr:col>
      <xdr:colOff>733708</xdr:colOff>
      <xdr:row>145</xdr:row>
      <xdr:rowOff>131857</xdr:rowOff>
    </xdr:to>
    <xdr:cxnSp macro="">
      <xdr:nvCxnSpPr>
        <xdr:cNvPr id="32" name="Straight Arrow Connector 31">
          <a:extLst>
            <a:ext uri="{FF2B5EF4-FFF2-40B4-BE49-F238E27FC236}">
              <a16:creationId xmlns:a16="http://schemas.microsoft.com/office/drawing/2014/main" id="{A02E098E-F60D-F44B-AA5B-BFE3BBF9D508}"/>
            </a:ext>
          </a:extLst>
        </xdr:cNvPr>
        <xdr:cNvCxnSpPr/>
      </xdr:nvCxnSpPr>
      <xdr:spPr>
        <a:xfrm>
          <a:off x="3393792" y="29704398"/>
          <a:ext cx="6940" cy="602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16378</xdr:col>
      <xdr:colOff>275674</xdr:colOff>
      <xdr:row>142</xdr:row>
      <xdr:rowOff>138798</xdr:rowOff>
    </xdr:from>
    <xdr:to>
      <xdr:col>16378</xdr:col>
      <xdr:colOff>282614</xdr:colOff>
      <xdr:row>145</xdr:row>
      <xdr:rowOff>131857</xdr:rowOff>
    </xdr:to>
    <xdr:cxnSp macro="">
      <xdr:nvCxnSpPr>
        <xdr:cNvPr id="33" name="Straight Arrow Connector 32">
          <a:extLst>
            <a:ext uri="{FF2B5EF4-FFF2-40B4-BE49-F238E27FC236}">
              <a16:creationId xmlns:a16="http://schemas.microsoft.com/office/drawing/2014/main" id="{B263C997-E970-BA43-9539-01137F7A869C}"/>
            </a:ext>
          </a:extLst>
        </xdr:cNvPr>
        <xdr:cNvCxnSpPr/>
      </xdr:nvCxnSpPr>
      <xdr:spPr>
        <a:xfrm>
          <a:off x="4670386" y="29704398"/>
          <a:ext cx="6940" cy="602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713719</xdr:colOff>
      <xdr:row>13</xdr:row>
      <xdr:rowOff>57727</xdr:rowOff>
    </xdr:from>
    <xdr:to>
      <xdr:col>1</xdr:col>
      <xdr:colOff>110206</xdr:colOff>
      <xdr:row>19</xdr:row>
      <xdr:rowOff>178429</xdr:rowOff>
    </xdr:to>
    <xdr:sp macro="" textlink="">
      <xdr:nvSpPr>
        <xdr:cNvPr id="34" name="Down Arrow 33">
          <a:extLst>
            <a:ext uri="{FF2B5EF4-FFF2-40B4-BE49-F238E27FC236}">
              <a16:creationId xmlns:a16="http://schemas.microsoft.com/office/drawing/2014/main" id="{531CBF4C-A86F-1D4C-83B0-CF7DC92293F9}"/>
            </a:ext>
          </a:extLst>
        </xdr:cNvPr>
        <xdr:cNvSpPr/>
      </xdr:nvSpPr>
      <xdr:spPr>
        <a:xfrm>
          <a:off x="13524094394" y="10243127"/>
          <a:ext cx="221987" cy="136530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766199</xdr:colOff>
      <xdr:row>23</xdr:row>
      <xdr:rowOff>10496</xdr:rowOff>
    </xdr:from>
    <xdr:to>
      <xdr:col>0</xdr:col>
      <xdr:colOff>771447</xdr:colOff>
      <xdr:row>25</xdr:row>
      <xdr:rowOff>194174</xdr:rowOff>
    </xdr:to>
    <xdr:cxnSp macro="">
      <xdr:nvCxnSpPr>
        <xdr:cNvPr id="35" name="Straight Arrow Connector 34">
          <a:extLst>
            <a:ext uri="{FF2B5EF4-FFF2-40B4-BE49-F238E27FC236}">
              <a16:creationId xmlns:a16="http://schemas.microsoft.com/office/drawing/2014/main" id="{08A509DF-43C8-1140-B7FF-42E7406F647C}"/>
            </a:ext>
          </a:extLst>
        </xdr:cNvPr>
        <xdr:cNvCxnSpPr/>
      </xdr:nvCxnSpPr>
      <xdr:spPr>
        <a:xfrm>
          <a:off x="13524258653" y="12278696"/>
          <a:ext cx="5248" cy="602778"/>
        </a:xfrm>
        <a:prstGeom prst="straightConnector1">
          <a:avLst/>
        </a:prstGeom>
        <a:ln>
          <a:prstDash val="sys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687479</xdr:colOff>
      <xdr:row>14</xdr:row>
      <xdr:rowOff>36735</xdr:rowOff>
    </xdr:from>
    <xdr:to>
      <xdr:col>4</xdr:col>
      <xdr:colOff>104959</xdr:colOff>
      <xdr:row>19</xdr:row>
      <xdr:rowOff>188925</xdr:rowOff>
    </xdr:to>
    <xdr:sp macro="" textlink="">
      <xdr:nvSpPr>
        <xdr:cNvPr id="36" name="Down Arrow 35">
          <a:extLst>
            <a:ext uri="{FF2B5EF4-FFF2-40B4-BE49-F238E27FC236}">
              <a16:creationId xmlns:a16="http://schemas.microsoft.com/office/drawing/2014/main" id="{32CAE768-7E97-934F-8508-6CAC1B533694}"/>
            </a:ext>
          </a:extLst>
        </xdr:cNvPr>
        <xdr:cNvSpPr/>
      </xdr:nvSpPr>
      <xdr:spPr>
        <a:xfrm>
          <a:off x="13521623141" y="10438035"/>
          <a:ext cx="242980" cy="118089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697975</xdr:colOff>
      <xdr:row>17</xdr:row>
      <xdr:rowOff>15743</xdr:rowOff>
    </xdr:from>
    <xdr:to>
      <xdr:col>7</xdr:col>
      <xdr:colOff>115455</xdr:colOff>
      <xdr:row>19</xdr:row>
      <xdr:rowOff>199421</xdr:rowOff>
    </xdr:to>
    <xdr:sp macro="" textlink="">
      <xdr:nvSpPr>
        <xdr:cNvPr id="37" name="Down Arrow 36">
          <a:extLst>
            <a:ext uri="{FF2B5EF4-FFF2-40B4-BE49-F238E27FC236}">
              <a16:creationId xmlns:a16="http://schemas.microsoft.com/office/drawing/2014/main" id="{8C912435-4A08-5142-BA75-3E9D78CF5273}"/>
            </a:ext>
          </a:extLst>
        </xdr:cNvPr>
        <xdr:cNvSpPr/>
      </xdr:nvSpPr>
      <xdr:spPr>
        <a:xfrm>
          <a:off x="13519136145" y="11039343"/>
          <a:ext cx="242980" cy="59007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635000</xdr:colOff>
      <xdr:row>35</xdr:row>
      <xdr:rowOff>31487</xdr:rowOff>
    </xdr:from>
    <xdr:to>
      <xdr:col>1</xdr:col>
      <xdr:colOff>104958</xdr:colOff>
      <xdr:row>37</xdr:row>
      <xdr:rowOff>125951</xdr:rowOff>
    </xdr:to>
    <xdr:sp macro="" textlink="">
      <xdr:nvSpPr>
        <xdr:cNvPr id="38" name="Down Arrow 37">
          <a:extLst>
            <a:ext uri="{FF2B5EF4-FFF2-40B4-BE49-F238E27FC236}">
              <a16:creationId xmlns:a16="http://schemas.microsoft.com/office/drawing/2014/main" id="{10F63084-7C32-EE41-BC8B-5165ED4FFE19}"/>
            </a:ext>
          </a:extLst>
        </xdr:cNvPr>
        <xdr:cNvSpPr/>
      </xdr:nvSpPr>
      <xdr:spPr>
        <a:xfrm>
          <a:off x="13524099642" y="14776187"/>
          <a:ext cx="295458"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519545</xdr:colOff>
      <xdr:row>35</xdr:row>
      <xdr:rowOff>31487</xdr:rowOff>
    </xdr:from>
    <xdr:to>
      <xdr:col>3</xdr:col>
      <xdr:colOff>813429</xdr:colOff>
      <xdr:row>37</xdr:row>
      <xdr:rowOff>125951</xdr:rowOff>
    </xdr:to>
    <xdr:sp macro="" textlink="">
      <xdr:nvSpPr>
        <xdr:cNvPr id="39" name="Down Arrow 38">
          <a:extLst>
            <a:ext uri="{FF2B5EF4-FFF2-40B4-BE49-F238E27FC236}">
              <a16:creationId xmlns:a16="http://schemas.microsoft.com/office/drawing/2014/main" id="{CE481044-44C5-1E47-A699-B11BED2FF90B}"/>
            </a:ext>
          </a:extLst>
        </xdr:cNvPr>
        <xdr:cNvSpPr/>
      </xdr:nvSpPr>
      <xdr:spPr>
        <a:xfrm>
          <a:off x="13521740171" y="14776187"/>
          <a:ext cx="293884"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561529</xdr:colOff>
      <xdr:row>35</xdr:row>
      <xdr:rowOff>41983</xdr:rowOff>
    </xdr:from>
    <xdr:to>
      <xdr:col>7</xdr:col>
      <xdr:colOff>31488</xdr:colOff>
      <xdr:row>37</xdr:row>
      <xdr:rowOff>136447</xdr:rowOff>
    </xdr:to>
    <xdr:sp macro="" textlink="">
      <xdr:nvSpPr>
        <xdr:cNvPr id="40" name="Down Arrow 39">
          <a:extLst>
            <a:ext uri="{FF2B5EF4-FFF2-40B4-BE49-F238E27FC236}">
              <a16:creationId xmlns:a16="http://schemas.microsoft.com/office/drawing/2014/main" id="{69F6E9AD-DC2A-5E40-81D0-DC2F4FD4D6E9}"/>
            </a:ext>
          </a:extLst>
        </xdr:cNvPr>
        <xdr:cNvSpPr/>
      </xdr:nvSpPr>
      <xdr:spPr>
        <a:xfrm>
          <a:off x="13519220112" y="14786683"/>
          <a:ext cx="295459" cy="500864"/>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508000</xdr:colOff>
      <xdr:row>142</xdr:row>
      <xdr:rowOff>133350</xdr:rowOff>
    </xdr:from>
    <xdr:to>
      <xdr:col>3</xdr:col>
      <xdr:colOff>625338</xdr:colOff>
      <xdr:row>145</xdr:row>
      <xdr:rowOff>185017</xdr:rowOff>
    </xdr:to>
    <xdr:cxnSp macro="">
      <xdr:nvCxnSpPr>
        <xdr:cNvPr id="41" name="Straight Arrow Connector 40">
          <a:extLst>
            <a:ext uri="{FF2B5EF4-FFF2-40B4-BE49-F238E27FC236}">
              <a16:creationId xmlns:a16="http://schemas.microsoft.com/office/drawing/2014/main" id="{B32CA0A5-EE49-9C4E-99AD-AD0E63394C03}"/>
            </a:ext>
          </a:extLst>
        </xdr:cNvPr>
        <xdr:cNvCxnSpPr/>
      </xdr:nvCxnSpPr>
      <xdr:spPr>
        <a:xfrm flipH="1">
          <a:off x="13521928262" y="29698950"/>
          <a:ext cx="942838" cy="6612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463549</xdr:colOff>
      <xdr:row>136</xdr:row>
      <xdr:rowOff>158750</xdr:rowOff>
    </xdr:from>
    <xdr:to>
      <xdr:col>3</xdr:col>
      <xdr:colOff>819150</xdr:colOff>
      <xdr:row>145</xdr:row>
      <xdr:rowOff>184150</xdr:rowOff>
    </xdr:to>
    <xdr:cxnSp macro="">
      <xdr:nvCxnSpPr>
        <xdr:cNvPr id="42" name="Straight Arrow Connector 41">
          <a:extLst>
            <a:ext uri="{FF2B5EF4-FFF2-40B4-BE49-F238E27FC236}">
              <a16:creationId xmlns:a16="http://schemas.microsoft.com/office/drawing/2014/main" id="{10F37F80-73C2-C04A-80CA-475B67C79323}"/>
            </a:ext>
          </a:extLst>
        </xdr:cNvPr>
        <xdr:cNvCxnSpPr/>
      </xdr:nvCxnSpPr>
      <xdr:spPr>
        <a:xfrm flipH="1">
          <a:off x="13521734450" y="28505150"/>
          <a:ext cx="1181101" cy="1854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801535</xdr:colOff>
      <xdr:row>178</xdr:row>
      <xdr:rowOff>139742</xdr:rowOff>
    </xdr:from>
    <xdr:to>
      <xdr:col>13</xdr:col>
      <xdr:colOff>303955</xdr:colOff>
      <xdr:row>193</xdr:row>
      <xdr:rowOff>168701</xdr:rowOff>
    </xdr:to>
    <xdr:pic>
      <xdr:nvPicPr>
        <xdr:cNvPr id="43" name="Picture 42">
          <a:extLst>
            <a:ext uri="{FF2B5EF4-FFF2-40B4-BE49-F238E27FC236}">
              <a16:creationId xmlns:a16="http://schemas.microsoft.com/office/drawing/2014/main" id="{08D02A9E-DBCB-7C0C-FBC9-00FA81504DFD}"/>
            </a:ext>
          </a:extLst>
        </xdr:cNvPr>
        <xdr:cNvPicPr>
          <a:picLocks noChangeAspect="1"/>
        </xdr:cNvPicPr>
      </xdr:nvPicPr>
      <xdr:blipFill>
        <a:blip xmlns:r="http://schemas.openxmlformats.org/officeDocument/2006/relationships" r:embed="rId1"/>
        <a:stretch>
          <a:fillRect/>
        </a:stretch>
      </xdr:blipFill>
      <xdr:spPr>
        <a:xfrm>
          <a:off x="13523845239" y="36513528"/>
          <a:ext cx="4700216" cy="3099154"/>
        </a:xfrm>
        <a:prstGeom prst="rect">
          <a:avLst/>
        </a:prstGeom>
      </xdr:spPr>
    </xdr:pic>
    <xdr:clientData/>
  </xdr:twoCellAnchor>
  <xdr:twoCellAnchor>
    <xdr:from>
      <xdr:col>0</xdr:col>
      <xdr:colOff>88900</xdr:colOff>
      <xdr:row>273</xdr:row>
      <xdr:rowOff>36633</xdr:rowOff>
    </xdr:from>
    <xdr:to>
      <xdr:col>7</xdr:col>
      <xdr:colOff>831850</xdr:colOff>
      <xdr:row>387</xdr:row>
      <xdr:rowOff>164083</xdr:rowOff>
    </xdr:to>
    <xdr:sp macro="" textlink="">
      <xdr:nvSpPr>
        <xdr:cNvPr id="44" name="TextBox 43">
          <a:extLst>
            <a:ext uri="{FF2B5EF4-FFF2-40B4-BE49-F238E27FC236}">
              <a16:creationId xmlns:a16="http://schemas.microsoft.com/office/drawing/2014/main" id="{79832306-34E7-A7E4-FFCC-43744B8502AD}"/>
            </a:ext>
          </a:extLst>
        </xdr:cNvPr>
        <xdr:cNvSpPr txBox="1"/>
      </xdr:nvSpPr>
      <xdr:spPr>
        <a:xfrm>
          <a:off x="13542802569" y="56264488"/>
          <a:ext cx="6581012" cy="23322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rtl="1"/>
          <a:endParaRPr lang="he-IL" sz="1100">
            <a:latin typeface="David" panose="020E0502060401010101" pitchFamily="34" charset="-79"/>
            <a:cs typeface="David" panose="020E0502060401010101" pitchFamily="34" charset="-79"/>
          </a:endParaRPr>
        </a:p>
        <a:p>
          <a:pPr algn="r" rtl="1"/>
          <a:r>
            <a:rPr lang="he-IL" sz="1100" b="1">
              <a:latin typeface="David" panose="020E0502060401010101" pitchFamily="34" charset="-79"/>
              <a:cs typeface="David" panose="020E0502060401010101" pitchFamily="34" charset="-79"/>
            </a:rPr>
            <a:t>שאלה בנושא תלויות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חברת "נקניק" מייצרת מכשירים רפואיים. ב-1.1.2023 השיקה החברה מוצר חדש בשם "כמוסת הכרבולת". להלן נתונים:</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1. מחיר מכירה: 200,000 ש"ח ליחידה</a:t>
          </a:r>
        </a:p>
        <a:p>
          <a:pPr algn="r" rtl="1"/>
          <a:r>
            <a:rPr lang="he-IL" sz="1100">
              <a:latin typeface="David" panose="020E0502060401010101" pitchFamily="34" charset="-79"/>
              <a:cs typeface="David" panose="020E0502060401010101" pitchFamily="34" charset="-79"/>
            </a:rPr>
            <a:t>נתוני מכירות 2023:</a:t>
          </a:r>
        </a:p>
        <a:p>
          <a:pPr algn="r" rtl="1"/>
          <a:r>
            <a:rPr lang="he-IL" sz="1100">
              <a:latin typeface="David" panose="020E0502060401010101" pitchFamily="34" charset="-79"/>
              <a:cs typeface="David" panose="020E0502060401010101" pitchFamily="34" charset="-79"/>
            </a:rPr>
            <a:t>- רבעון 1: 100 יחידות</a:t>
          </a:r>
        </a:p>
        <a:p>
          <a:pPr algn="r" rtl="1"/>
          <a:r>
            <a:rPr lang="he-IL" sz="1100">
              <a:latin typeface="David" panose="020E0502060401010101" pitchFamily="34" charset="-79"/>
              <a:cs typeface="David" panose="020E0502060401010101" pitchFamily="34" charset="-79"/>
            </a:rPr>
            <a:t>- רבעון 2: 150 יחידות </a:t>
          </a:r>
        </a:p>
        <a:p>
          <a:pPr algn="r" rtl="1"/>
          <a:r>
            <a:rPr lang="he-IL" sz="1100">
              <a:latin typeface="David" panose="020E0502060401010101" pitchFamily="34" charset="-79"/>
              <a:cs typeface="David" panose="020E0502060401010101" pitchFamily="34" charset="-79"/>
            </a:rPr>
            <a:t>- רבעון 3: 200 יחידות</a:t>
          </a:r>
        </a:p>
        <a:p>
          <a:pPr algn="r" rtl="1"/>
          <a:r>
            <a:rPr lang="he-IL" sz="1100">
              <a:latin typeface="David" panose="020E0502060401010101" pitchFamily="34" charset="-79"/>
              <a:cs typeface="David" panose="020E0502060401010101" pitchFamily="34" charset="-79"/>
            </a:rPr>
            <a:t>- רבעון 4: 250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2. תנאי אחריות:</a:t>
          </a:r>
        </a:p>
        <a:p>
          <a:pPr algn="r" rtl="1"/>
          <a:r>
            <a:rPr lang="he-IL" sz="1100">
              <a:latin typeface="David" panose="020E0502060401010101" pitchFamily="34" charset="-79"/>
              <a:cs typeface="David" panose="020E0502060401010101" pitchFamily="34" charset="-79"/>
            </a:rPr>
            <a:t>- 5 שנות אחריות מלאה</a:t>
          </a:r>
        </a:p>
        <a:p>
          <a:pPr algn="r" rtl="1"/>
          <a:r>
            <a:rPr lang="he-IL" sz="1100">
              <a:latin typeface="David" panose="020E0502060401010101" pitchFamily="34" charset="-79"/>
              <a:cs typeface="David" panose="020E0502060401010101" pitchFamily="34" charset="-79"/>
            </a:rPr>
            <a:t>- במקרה של תקלה: 40% מהמקרים דורשים החלפה מלאה, 60% דורשים תיקון</a:t>
          </a:r>
        </a:p>
        <a:p>
          <a:pPr algn="r" rtl="1"/>
          <a:r>
            <a:rPr lang="he-IL" sz="1100">
              <a:latin typeface="David" panose="020E0502060401010101" pitchFamily="34" charset="-79"/>
              <a:cs typeface="David" panose="020E0502060401010101" pitchFamily="34" charset="-79"/>
            </a:rPr>
            <a:t>- עלות תיקון ממוצעת: 30,000 ש"ח + 10% לכל שנה נוספת</a:t>
          </a:r>
        </a:p>
        <a:p>
          <a:pPr algn="r" rtl="1"/>
          <a:r>
            <a:rPr lang="he-IL" sz="1100">
              <a:latin typeface="David" panose="020E0502060401010101" pitchFamily="34" charset="-79"/>
              <a:cs typeface="David" panose="020E0502060401010101" pitchFamily="34" charset="-79"/>
            </a:rPr>
            <a:t>- שיעורי תקלות צפויים:</a:t>
          </a:r>
        </a:p>
        <a:p>
          <a:pPr algn="r" rtl="1"/>
          <a:r>
            <a:rPr lang="he-IL" sz="1100">
              <a:latin typeface="David" panose="020E0502060401010101" pitchFamily="34" charset="-79"/>
              <a:cs typeface="David" panose="020E0502060401010101" pitchFamily="34" charset="-79"/>
            </a:rPr>
            <a:t>  * שנה 1: 3%</a:t>
          </a:r>
        </a:p>
        <a:p>
          <a:pPr algn="r" rtl="1"/>
          <a:r>
            <a:rPr lang="he-IL" sz="1100">
              <a:latin typeface="David" panose="020E0502060401010101" pitchFamily="34" charset="-79"/>
              <a:cs typeface="David" panose="020E0502060401010101" pitchFamily="34" charset="-79"/>
            </a:rPr>
            <a:t>  * שנה 2: 4%</a:t>
          </a:r>
        </a:p>
        <a:p>
          <a:pPr algn="r" rtl="1"/>
          <a:r>
            <a:rPr lang="he-IL" sz="1100">
              <a:latin typeface="David" panose="020E0502060401010101" pitchFamily="34" charset="-79"/>
              <a:cs typeface="David" panose="020E0502060401010101" pitchFamily="34" charset="-79"/>
            </a:rPr>
            <a:t>  * שנה 3: 5%</a:t>
          </a:r>
        </a:p>
        <a:p>
          <a:pPr algn="r" rtl="1"/>
          <a:r>
            <a:rPr lang="he-IL" sz="1100">
              <a:latin typeface="David" panose="020E0502060401010101" pitchFamily="34" charset="-79"/>
              <a:cs typeface="David" panose="020E0502060401010101" pitchFamily="34" charset="-79"/>
            </a:rPr>
            <a:t>  * שנה 4: 6%</a:t>
          </a:r>
        </a:p>
        <a:p>
          <a:pPr algn="r" rtl="1"/>
          <a:r>
            <a:rPr lang="he-IL" sz="1100">
              <a:latin typeface="David" panose="020E0502060401010101" pitchFamily="34" charset="-79"/>
              <a:cs typeface="David" panose="020E0502060401010101" pitchFamily="34" charset="-79"/>
            </a:rPr>
            <a:t>  * שנה 5: 7%</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3. ב-1.7.2023 התגלה פגם בתוכנה המשפיע על 20% מהמכשירים שנמכרו עד לאותו מועד:</a:t>
          </a:r>
        </a:p>
        <a:p>
          <a:pPr algn="r" rtl="1"/>
          <a:r>
            <a:rPr lang="he-IL" sz="1100">
              <a:latin typeface="David" panose="020E0502060401010101" pitchFamily="34" charset="-79"/>
              <a:cs typeface="David" panose="020E0502060401010101" pitchFamily="34" charset="-79"/>
            </a:rPr>
            <a:t>- 60% סיכוי שעלות התיקון תהיה 50,000 ש"ח ליחידה</a:t>
          </a:r>
        </a:p>
        <a:p>
          <a:pPr algn="r" rtl="1"/>
          <a:r>
            <a:rPr lang="he-IL" sz="1100">
              <a:latin typeface="David" panose="020E0502060401010101" pitchFamily="34" charset="-79"/>
              <a:cs typeface="David" panose="020E0502060401010101" pitchFamily="34" charset="-79"/>
            </a:rPr>
            <a:t>- 40% סיכוי שעלות התיקון תהיה 80,000 ש"ח ליחידה</a:t>
          </a:r>
        </a:p>
        <a:p>
          <a:pPr algn="r" rtl="1"/>
          <a:r>
            <a:rPr lang="he-IL" sz="1100">
              <a:latin typeface="David" panose="020E0502060401010101" pitchFamily="34" charset="-79"/>
              <a:cs typeface="David" panose="020E0502060401010101" pitchFamily="34" charset="-79"/>
            </a:rPr>
            <a:t>- ספק התוכנה התחייב לשפות 80% מהעלויות מעל 60,000 ש"ח ליחידה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4. ב-1.10.2023 הוגשה תביעה ייצוגית:</a:t>
          </a:r>
        </a:p>
        <a:p>
          <a:pPr algn="r" rtl="1"/>
          <a:r>
            <a:rPr lang="he-IL" sz="1100">
              <a:latin typeface="David" panose="020E0502060401010101" pitchFamily="34" charset="-79"/>
              <a:cs typeface="David" panose="020E0502060401010101" pitchFamily="34" charset="-79"/>
            </a:rPr>
            <a:t>- 30% סיכוי לתשלום 15 מיליון ש"ח</a:t>
          </a:r>
        </a:p>
        <a:p>
          <a:pPr algn="r" rtl="1"/>
          <a:r>
            <a:rPr lang="he-IL" sz="1100">
              <a:latin typeface="David" panose="020E0502060401010101" pitchFamily="34" charset="-79"/>
              <a:cs typeface="David" panose="020E0502060401010101" pitchFamily="34" charset="-79"/>
            </a:rPr>
            <a:t>- 50% סיכוי לתשלום 8 מיליון ש"ח</a:t>
          </a:r>
        </a:p>
        <a:p>
          <a:pPr algn="r" rtl="1"/>
          <a:r>
            <a:rPr lang="he-IL" sz="1100">
              <a:latin typeface="David" panose="020E0502060401010101" pitchFamily="34" charset="-79"/>
              <a:cs typeface="David" panose="020E0502060401010101" pitchFamily="34" charset="-79"/>
            </a:rPr>
            <a:t>- 20% סיכוי לדחיית התביעה</a:t>
          </a:r>
        </a:p>
        <a:p>
          <a:pPr algn="r" rtl="1"/>
          <a:r>
            <a:rPr lang="he-IL" sz="1100">
              <a:latin typeface="David" panose="020E0502060401010101" pitchFamily="34" charset="-79"/>
              <a:cs typeface="David" panose="020E0502060401010101" pitchFamily="34" charset="-79"/>
            </a:rPr>
            <a:t>- הוצאות משפטיות צפויות: 800,000 ש"ח</a:t>
          </a:r>
        </a:p>
        <a:p>
          <a:pPr algn="r" rtl="1"/>
          <a:r>
            <a:rPr lang="he-IL" sz="1100">
              <a:latin typeface="David" panose="020E0502060401010101" pitchFamily="34" charset="-79"/>
              <a:cs typeface="David" panose="020E0502060401010101" pitchFamily="34" charset="-79"/>
            </a:rPr>
            <a:t>- חברת הביטוח תשפה 70% מכל סכום מעל 10 מיליון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שיעור היוון: 4% שנתי</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נדרש:</a:t>
          </a:r>
        </a:p>
        <a:p>
          <a:pPr algn="r" rtl="1"/>
          <a:r>
            <a:rPr lang="he-IL" sz="1100">
              <a:latin typeface="David" panose="020E0502060401010101" pitchFamily="34" charset="-79"/>
              <a:cs typeface="David" panose="020E0502060401010101" pitchFamily="34" charset="-79"/>
            </a:rPr>
            <a:t>1. חישוב ההפרשה לאחריות ל-31.12.2023</a:t>
          </a:r>
        </a:p>
        <a:p>
          <a:pPr algn="r" rtl="1"/>
          <a:r>
            <a:rPr lang="he-IL" sz="1100">
              <a:latin typeface="David" panose="020E0502060401010101" pitchFamily="34" charset="-79"/>
              <a:cs typeface="David" panose="020E0502060401010101" pitchFamily="34" charset="-79"/>
            </a:rPr>
            <a:t>2. חישוב ההפרשה לפגם בתוכנה</a:t>
          </a:r>
        </a:p>
        <a:p>
          <a:pPr algn="r" rtl="1"/>
          <a:r>
            <a:rPr lang="he-IL" sz="1100">
              <a:latin typeface="David" panose="020E0502060401010101" pitchFamily="34" charset="-79"/>
              <a:cs typeface="David" panose="020E0502060401010101" pitchFamily="34" charset="-79"/>
            </a:rPr>
            <a:t>3. חישוב ההפרשה בגין התביעה הייצוגית</a:t>
          </a:r>
        </a:p>
        <a:p>
          <a:pPr algn="r" rtl="1"/>
          <a:r>
            <a:rPr lang="he-IL" sz="1100">
              <a:latin typeface="David" panose="020E0502060401010101" pitchFamily="34" charset="-79"/>
              <a:cs typeface="David" panose="020E0502060401010101" pitchFamily="34" charset="-79"/>
            </a:rPr>
            <a:t>4. חישוב נכסי השיפוי שיוכרו</a:t>
          </a:r>
        </a:p>
        <a:p>
          <a:pPr algn="r" rtl="1"/>
          <a:r>
            <a:rPr lang="he-IL" sz="1100">
              <a:latin typeface="David" panose="020E0502060401010101" pitchFamily="34" charset="-79"/>
              <a:cs typeface="David" panose="020E0502060401010101" pitchFamily="34" charset="-79"/>
            </a:rPr>
            <a:t>5. פקודות יומן מלאות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פתרון:</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1. הפרשה לאחריות: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מספר יחידות שנמכרו: 700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חישוב עלות לכל שנת אחריות:</a:t>
          </a:r>
        </a:p>
        <a:p>
          <a:pPr algn="r" rtl="1"/>
          <a:r>
            <a:rPr lang="he-IL" sz="1100">
              <a:latin typeface="David" panose="020E0502060401010101" pitchFamily="34" charset="-79"/>
              <a:cs typeface="David" panose="020E0502060401010101" pitchFamily="34" charset="-79"/>
            </a:rPr>
            <a:t>שנה 1: </a:t>
          </a:r>
        </a:p>
        <a:p>
          <a:pPr algn="r" rtl="1"/>
          <a:r>
            <a:rPr lang="he-IL" sz="1100">
              <a:latin typeface="David" panose="020E0502060401010101" pitchFamily="34" charset="-79"/>
              <a:cs typeface="David" panose="020E0502060401010101" pitchFamily="34" charset="-79"/>
            </a:rPr>
            <a:t>- תיקון: 700 × 3% × 60% × 30,000 = 378,000</a:t>
          </a:r>
        </a:p>
        <a:p>
          <a:pPr algn="r" rtl="1"/>
          <a:r>
            <a:rPr lang="he-IL" sz="1100">
              <a:latin typeface="David" panose="020E0502060401010101" pitchFamily="34" charset="-79"/>
              <a:cs typeface="David" panose="020E0502060401010101" pitchFamily="34" charset="-79"/>
            </a:rPr>
            <a:t>- החלפה: 700 × 3% × 40% × 200,000 = 1,680,000</a:t>
          </a:r>
        </a:p>
        <a:p>
          <a:pPr algn="r" rtl="1"/>
          <a:r>
            <a:rPr lang="he-IL" sz="1100">
              <a:latin typeface="David" panose="020E0502060401010101" pitchFamily="34" charset="-79"/>
              <a:cs typeface="David" panose="020E0502060401010101" pitchFamily="34" charset="-79"/>
            </a:rPr>
            <a:t>סה"כ שנה 1: 2,058,000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2:</a:t>
          </a:r>
        </a:p>
        <a:p>
          <a:pPr algn="r" rtl="1"/>
          <a:r>
            <a:rPr lang="he-IL" sz="1100">
              <a:solidFill>
                <a:sysClr val="windowText" lastClr="000000"/>
              </a:solidFill>
              <a:latin typeface="David" panose="020E0502060401010101" pitchFamily="34" charset="-79"/>
              <a:cs typeface="David" panose="020E0502060401010101" pitchFamily="34" charset="-79"/>
            </a:rPr>
            <a:t>- תיקון: 700 × 4% × 60% × 33,000 = 554,400</a:t>
          </a:r>
        </a:p>
        <a:p>
          <a:pPr algn="r" rtl="1"/>
          <a:r>
            <a:rPr lang="he-IL" sz="1100">
              <a:solidFill>
                <a:sysClr val="windowText" lastClr="000000"/>
              </a:solidFill>
              <a:latin typeface="David" panose="020E0502060401010101" pitchFamily="34" charset="-79"/>
              <a:cs typeface="David" panose="020E0502060401010101" pitchFamily="34" charset="-79"/>
            </a:rPr>
            <a:t>- החלפה: 700 × 4% × 40% × 200,000 = 2,240,000</a:t>
          </a:r>
        </a:p>
        <a:p>
          <a:pPr algn="r" rtl="1"/>
          <a:r>
            <a:rPr lang="he-IL" sz="1100">
              <a:solidFill>
                <a:sysClr val="windowText" lastClr="000000"/>
              </a:solidFill>
              <a:latin typeface="David" panose="020E0502060401010101" pitchFamily="34" charset="-79"/>
              <a:cs typeface="David" panose="020E0502060401010101" pitchFamily="34" charset="-79"/>
            </a:rPr>
            <a:t>סה"כ שנה 2: 2,794,400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3:</a:t>
          </a:r>
        </a:p>
        <a:p>
          <a:pPr algn="r" rtl="1"/>
          <a:r>
            <a:rPr lang="he-IL" sz="1100">
              <a:latin typeface="David" panose="020E0502060401010101" pitchFamily="34" charset="-79"/>
              <a:cs typeface="David" panose="020E0502060401010101" pitchFamily="34" charset="-79"/>
            </a:rPr>
            <a:t>- תיקון: 700 × 5% × 60% × 36,300 = 762,300</a:t>
          </a:r>
        </a:p>
        <a:p>
          <a:pPr algn="r" rtl="1"/>
          <a:r>
            <a:rPr lang="he-IL" sz="1100">
              <a:latin typeface="David" panose="020E0502060401010101" pitchFamily="34" charset="-79"/>
              <a:cs typeface="David" panose="020E0502060401010101" pitchFamily="34" charset="-79"/>
            </a:rPr>
            <a:t>- החלפה: 700 × 5% × 40% × 200,000 = 2,800,000</a:t>
          </a:r>
        </a:p>
        <a:p>
          <a:pPr algn="r" rtl="1"/>
          <a:r>
            <a:rPr lang="he-IL" sz="1100">
              <a:latin typeface="David" panose="020E0502060401010101" pitchFamily="34" charset="-79"/>
              <a:cs typeface="David" panose="020E0502060401010101" pitchFamily="34" charset="-79"/>
            </a:rPr>
            <a:t>סה"כ שנה 3: 3,562,300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4:</a:t>
          </a:r>
        </a:p>
        <a:p>
          <a:pPr algn="r" rtl="1"/>
          <a:r>
            <a:rPr lang="he-IL" sz="1100">
              <a:latin typeface="David" panose="020E0502060401010101" pitchFamily="34" charset="-79"/>
              <a:cs typeface="David" panose="020E0502060401010101" pitchFamily="34" charset="-79"/>
            </a:rPr>
            <a:t>- תיקון: 700 × 6% × 60% × 39,930 = 1,006,836</a:t>
          </a:r>
        </a:p>
        <a:p>
          <a:pPr algn="r" rtl="1"/>
          <a:r>
            <a:rPr lang="he-IL" sz="1100">
              <a:latin typeface="David" panose="020E0502060401010101" pitchFamily="34" charset="-79"/>
              <a:cs typeface="David" panose="020E0502060401010101" pitchFamily="34" charset="-79"/>
            </a:rPr>
            <a:t>- החלפה: 700 × 6% × 40% × 200,000 = 3,360,000</a:t>
          </a:r>
        </a:p>
        <a:p>
          <a:pPr algn="r" rtl="1"/>
          <a:r>
            <a:rPr lang="he-IL" sz="1100">
              <a:latin typeface="David" panose="020E0502060401010101" pitchFamily="34" charset="-79"/>
              <a:cs typeface="David" panose="020E0502060401010101" pitchFamily="34" charset="-79"/>
            </a:rPr>
            <a:t>סה"כ שנה 4: 4,366,836</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שנה 5:</a:t>
          </a:r>
        </a:p>
        <a:p>
          <a:pPr algn="r" rtl="1"/>
          <a:r>
            <a:rPr lang="he-IL" sz="1100">
              <a:latin typeface="David" panose="020E0502060401010101" pitchFamily="34" charset="-79"/>
              <a:cs typeface="David" panose="020E0502060401010101" pitchFamily="34" charset="-79"/>
            </a:rPr>
            <a:t>- תיקון: 700 × 7% × 60% × 43,923 = 1,291,837</a:t>
          </a:r>
        </a:p>
        <a:p>
          <a:pPr algn="r" rtl="1"/>
          <a:r>
            <a:rPr lang="he-IL" sz="1100">
              <a:latin typeface="David" panose="020E0502060401010101" pitchFamily="34" charset="-79"/>
              <a:cs typeface="David" panose="020E0502060401010101" pitchFamily="34" charset="-79"/>
            </a:rPr>
            <a:t>- החלפה: 700 × 7% × 40% × 200,000 = 3,920,000</a:t>
          </a:r>
        </a:p>
        <a:p>
          <a:pPr algn="r" rtl="1"/>
          <a:r>
            <a:rPr lang="he-IL" sz="1100">
              <a:latin typeface="David" panose="020E0502060401010101" pitchFamily="34" charset="-79"/>
              <a:cs typeface="David" panose="020E0502060401010101" pitchFamily="34" charset="-79"/>
            </a:rPr>
            <a:t>סה"כ שנה 5: 5,211,837</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היוון תזרימים:</a:t>
          </a: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endParaRPr lang="en-US" sz="1100">
            <a:latin typeface="David" panose="020E0502060401010101" pitchFamily="34" charset="-79"/>
            <a:cs typeface="David" panose="020E0502060401010101" pitchFamily="34" charset="-79"/>
          </a:endParaRPr>
        </a:p>
        <a:p>
          <a:pPr algn="r" rtl="1"/>
          <a:r>
            <a:rPr lang="he-IL" sz="1400" b="1">
              <a:latin typeface="David" panose="020E0502060401010101" pitchFamily="34" charset="-79"/>
              <a:cs typeface="David" panose="020E0502060401010101" pitchFamily="34" charset="-79"/>
            </a:rPr>
            <a:t>סה"כ הפרשה לאחריות: </a:t>
          </a:r>
          <a:r>
            <a:rPr lang="en-US" sz="1400" b="1">
              <a:latin typeface="David" panose="020E0502060401010101" pitchFamily="34" charset="-79"/>
              <a:cs typeface="David" panose="020E0502060401010101" pitchFamily="34" charset="-79"/>
            </a:rPr>
            <a:t>15,745,838</a:t>
          </a:r>
          <a:r>
            <a:rPr lang="he-IL" sz="1400" b="1">
              <a:latin typeface="David" panose="020E0502060401010101" pitchFamily="34" charset="-79"/>
              <a:cs typeface="David" panose="020E0502060401010101" pitchFamily="34" charset="-79"/>
            </a:rPr>
            <a:t>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2. הפרשה לפגם בתוכנה: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מספר יחידות פגומות:</a:t>
          </a:r>
          <a:endParaRPr lang="en-US"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על</a:t>
          </a:r>
          <a:r>
            <a:rPr lang="he-IL" sz="1100" baseline="0">
              <a:latin typeface="David" panose="020E0502060401010101" pitchFamily="34" charset="-79"/>
              <a:cs typeface="David" panose="020E0502060401010101" pitchFamily="34" charset="-79"/>
            </a:rPr>
            <a:t> פי נתוני השאלה, הפגם בתוכנה התגלה ב-1.7.2023.</a:t>
          </a:r>
        </a:p>
        <a:p>
          <a:pPr algn="r" rtl="1"/>
          <a:r>
            <a:rPr lang="he-IL" sz="1100">
              <a:latin typeface="David" panose="020E0502060401010101" pitchFamily="34" charset="-79"/>
              <a:cs typeface="David" panose="020E0502060401010101" pitchFamily="34" charset="-79"/>
            </a:rPr>
            <a:t>כמו כן נתון, שהפגם השפיע רק על 20% מהמכשירים</a:t>
          </a:r>
          <a:r>
            <a:rPr lang="he-IL" sz="1100" baseline="0">
              <a:latin typeface="David" panose="020E0502060401010101" pitchFamily="34" charset="-79"/>
              <a:cs typeface="David" panose="020E0502060401010101" pitchFamily="34" charset="-79"/>
            </a:rPr>
            <a:t> שנמכרו עד לאותו מועד. </a:t>
          </a:r>
        </a:p>
        <a:p>
          <a:pPr algn="r" rtl="1"/>
          <a:r>
            <a:rPr lang="he-IL" sz="1100">
              <a:latin typeface="David" panose="020E0502060401010101" pitchFamily="34" charset="-79"/>
              <a:cs typeface="David" panose="020E0502060401010101" pitchFamily="34" charset="-79"/>
            </a:rPr>
            <a:t>ה-1.7.2023 הוא למעשה תום המחצית הראשונה (תום</a:t>
          </a:r>
          <a:r>
            <a:rPr lang="he-IL" sz="1100" baseline="0">
              <a:latin typeface="David" panose="020E0502060401010101" pitchFamily="34" charset="-79"/>
              <a:cs typeface="David" panose="020E0502060401010101" pitchFamily="34" charset="-79"/>
            </a:rPr>
            <a:t> הרבעון השני) של 2023.</a:t>
          </a:r>
        </a:p>
        <a:p>
          <a:pPr algn="r" rtl="1"/>
          <a:r>
            <a:rPr lang="he-IL" sz="1100" baseline="0">
              <a:latin typeface="David" panose="020E0502060401010101" pitchFamily="34" charset="-79"/>
              <a:cs typeface="David" panose="020E0502060401010101" pitchFamily="34" charset="-79"/>
            </a:rPr>
            <a:t>על פי נתוני השאלה, המכירות ברבעון הראשון והשני יחד הן 250 = 150 + 100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הואיל ובסך הכל נמכרו בטווח הנ״ל 250 יח׳;</a:t>
          </a:r>
        </a:p>
        <a:p>
          <a:pPr algn="r" rtl="1"/>
          <a:r>
            <a:rPr lang="he-IL" sz="1100">
              <a:latin typeface="David" panose="020E0502060401010101" pitchFamily="34" charset="-79"/>
              <a:cs typeface="David" panose="020E0502060401010101" pitchFamily="34" charset="-79"/>
            </a:rPr>
            <a:t>ושיעור היח׳ שנדפקו לאור הפגם 20%;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הרי שבסך הכל, מס׳ היחידות שנדפקו עד 1.7.2023: 250 × 20% = 50 יחידות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חישוב תוחלת עלות תיקון ליחידה פגומה אחת:</a:t>
          </a:r>
        </a:p>
        <a:p>
          <a:pPr algn="r" rtl="1"/>
          <a:r>
            <a:rPr lang="he-IL" sz="1100">
              <a:latin typeface="David" panose="020E0502060401010101" pitchFamily="34" charset="-79"/>
              <a:cs typeface="David" panose="020E0502060401010101" pitchFamily="34" charset="-79"/>
            </a:rPr>
            <a:t>(50,000 × 60%) + (80,000 × 40%) = 62,000 ש"ח ליחידה</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סה"כ הפרשה בגין 50 יח׳ פגומות</a:t>
          </a:r>
        </a:p>
        <a:p>
          <a:pPr algn="r" rtl="1"/>
          <a:r>
            <a:rPr lang="he-IL" sz="1100">
              <a:latin typeface="David" panose="020E0502060401010101" pitchFamily="34" charset="-79"/>
              <a:cs typeface="David" panose="020E0502060401010101" pitchFamily="34" charset="-79"/>
            </a:rPr>
            <a:t>לפי מכפלת מס׳ היח׳ הפגומות בתוחלת התיקון ליח׳: 50 × 62,000 = 3,100,000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חישוב שיפוי:</a:t>
          </a:r>
        </a:p>
        <a:p>
          <a:pPr algn="r" rtl="1"/>
          <a:r>
            <a:rPr lang="he-IL" sz="1100">
              <a:latin typeface="David" panose="020E0502060401010101" pitchFamily="34" charset="-79"/>
              <a:cs typeface="David" panose="020E0502060401010101" pitchFamily="34" charset="-79"/>
            </a:rPr>
            <a:t>תוחלת העלות שבה תצטרך לשאת החברה כדי לתקן יח׳ פגומה (ב): 62,000</a:t>
          </a:r>
        </a:p>
        <a:p>
          <a:pPr algn="r" rtl="1"/>
          <a:r>
            <a:rPr lang="he-IL" sz="1100">
              <a:latin typeface="David" panose="020E0502060401010101" pitchFamily="34" charset="-79"/>
              <a:cs typeface="David" panose="020E0502060401010101" pitchFamily="34" charset="-79"/>
            </a:rPr>
            <a:t>ספק התוכנה משפה רק בגין רכיב העלות שמעל: 60,000</a:t>
          </a:r>
        </a:p>
        <a:p>
          <a:pPr algn="r" rtl="1"/>
          <a:r>
            <a:rPr lang="he-IL" sz="1100">
              <a:latin typeface="David" panose="020E0502060401010101" pitchFamily="34" charset="-79"/>
              <a:cs typeface="David" panose="020E0502060401010101" pitchFamily="34" charset="-79"/>
            </a:rPr>
            <a:t>לכן חברת הביטוח תשפה באופן חלקי על:</a:t>
          </a:r>
          <a:r>
            <a:rPr lang="he-IL" sz="1100" baseline="0">
              <a:latin typeface="David" panose="020E0502060401010101" pitchFamily="34" charset="-79"/>
              <a:cs typeface="David" panose="020E0502060401010101" pitchFamily="34" charset="-79"/>
            </a:rPr>
            <a:t> 2,000 = 60,000 - 62,000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גובה השיפוי ליח׳ לפי 80% מסכום זה: 2,000 × 80% = 1,600 ש"ח ליחידה</a:t>
          </a:r>
        </a:p>
        <a:p>
          <a:pPr algn="r" rtl="1"/>
          <a:r>
            <a:rPr lang="he-IL" sz="1100">
              <a:latin typeface="David" panose="020E0502060401010101" pitchFamily="34" charset="-79"/>
              <a:cs typeface="David" panose="020E0502060401010101" pitchFamily="34" charset="-79"/>
            </a:rPr>
            <a:t>סה"כ שיפוי בגין 50</a:t>
          </a:r>
          <a:r>
            <a:rPr lang="he-IL" sz="1100" baseline="0">
              <a:latin typeface="David" panose="020E0502060401010101" pitchFamily="34" charset="-79"/>
              <a:cs typeface="David" panose="020E0502060401010101" pitchFamily="34" charset="-79"/>
            </a:rPr>
            <a:t> יח׳ פגומות</a:t>
          </a:r>
          <a:r>
            <a:rPr lang="he-IL" sz="1100">
              <a:latin typeface="David" panose="020E0502060401010101" pitchFamily="34" charset="-79"/>
              <a:cs typeface="David" panose="020E0502060401010101" pitchFamily="34" charset="-79"/>
            </a:rPr>
            <a:t>: 50 × 1,600 = 80,000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3. הפרשה לתביעה הייצוגית:</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חישוב תוחלת התביעה:</a:t>
          </a:r>
        </a:p>
        <a:p>
          <a:pPr algn="r" rtl="1"/>
          <a:r>
            <a:rPr lang="he-IL" sz="1100">
              <a:latin typeface="David" panose="020E0502060401010101" pitchFamily="34" charset="-79"/>
              <a:cs typeface="David" panose="020E0502060401010101" pitchFamily="34" charset="-79"/>
            </a:rPr>
            <a:t>(15,000,000 × 30%) + (8,000,000 × 50%) + (0 × 20%) = 8,500,000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הוצאות משפטיות: 800,000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סה"כ הפרשה: 9,300,000 ש"ח = 800,000 + 8,500,000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חישוב שיפוי:</a:t>
          </a:r>
        </a:p>
        <a:p>
          <a:pPr algn="r" rtl="1"/>
          <a:r>
            <a:rPr lang="he-IL" sz="1100">
              <a:latin typeface="David" panose="020E0502060401010101" pitchFamily="34" charset="-79"/>
              <a:cs typeface="David" panose="020E0502060401010101" pitchFamily="34" charset="-79"/>
            </a:rPr>
            <a:t>שימו לב - כשדנו בשיפוי בגין מוצרים פגומים, מדובר היה במוצרים רבים - מאות. לכן, התבססנו על תוחל</a:t>
          </a:r>
          <a:r>
            <a:rPr lang="he-IL" sz="1100" baseline="0">
              <a:latin typeface="David" panose="020E0502060401010101" pitchFamily="34" charset="-79"/>
              <a:cs typeface="David" panose="020E0502060401010101" pitchFamily="34" charset="-79"/>
            </a:rPr>
            <a:t>ת התיקון למוצר בודד</a:t>
          </a:r>
        </a:p>
        <a:p>
          <a:pPr algn="r" rtl="1"/>
          <a:r>
            <a:rPr lang="he-IL" sz="1100" baseline="0">
              <a:latin typeface="David" panose="020E0502060401010101" pitchFamily="34" charset="-79"/>
              <a:cs typeface="David" panose="020E0502060401010101" pitchFamily="34" charset="-79"/>
            </a:rPr>
            <a:t>כדי להעריך את התשלום ואת החלק לשיפוי. </a:t>
          </a:r>
        </a:p>
        <a:p>
          <a:pPr algn="r" rtl="1"/>
          <a:r>
            <a:rPr lang="he-IL" sz="1100" baseline="0">
              <a:latin typeface="David" panose="020E0502060401010101" pitchFamily="34" charset="-79"/>
              <a:cs typeface="David" panose="020E0502060401010101" pitchFamily="34" charset="-79"/>
            </a:rPr>
            <a:t>לעומת זאת, כאן - דנים בשיפוי בגין תביעה אחת, יחידה וספציפית. לכן, כשבוחנים את החלק לשיפוי, עלינו להתייחס לתוצאות האפשריות של התביעה. ולכן, למרות שתוחלת התביעה נמוכה מהסכום המזכה בשיפוי, העובדה שיש תרחיש ספציפי שכן מזכה בשיפוי (כזה שסכום התשלום בגינו 15 מיליון ש״ח) מובילה לצורך בהכרה בנכס שיפוי במקרה זה. </a:t>
          </a:r>
          <a:endParaRPr lang="he-IL" sz="1100">
            <a:latin typeface="David" panose="020E0502060401010101" pitchFamily="34" charset="-79"/>
            <a:cs typeface="David" panose="020E0502060401010101" pitchFamily="34" charset="-79"/>
          </a:endParaRPr>
        </a:p>
        <a:p>
          <a:pPr algn="r" rtl="1"/>
          <a:endParaRPr lang="he-IL" sz="1100">
            <a:latin typeface="David" panose="020E0502060401010101" pitchFamily="34" charset="-79"/>
            <a:cs typeface="David" panose="020E0502060401010101" pitchFamily="34" charset="-79"/>
          </a:endParaRP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סכום מעל 10 מיליון בתרחיש הגבוה:</a:t>
          </a:r>
        </a:p>
        <a:p>
          <a:pPr algn="r" rtl="1"/>
          <a:r>
            <a:rPr lang="he-IL" sz="1100">
              <a:latin typeface="David" panose="020E0502060401010101" pitchFamily="34" charset="-79"/>
              <a:cs typeface="David" panose="020E0502060401010101" pitchFamily="34" charset="-79"/>
            </a:rPr>
            <a:t>5,000,000 × 30%× 70% = 1,050,000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4. סה"כ נכסי שיפוי שיוכרו:</a:t>
          </a:r>
        </a:p>
        <a:p>
          <a:pPr algn="r" rtl="1"/>
          <a:r>
            <a:rPr lang="he-IL" sz="1100">
              <a:latin typeface="David" panose="020E0502060401010101" pitchFamily="34" charset="-79"/>
              <a:cs typeface="David" panose="020E0502060401010101" pitchFamily="34" charset="-79"/>
            </a:rPr>
            <a:t>- שיפוי פגם בתוכנה: 80,000</a:t>
          </a:r>
        </a:p>
        <a:p>
          <a:pPr algn="r" rtl="1"/>
          <a:r>
            <a:rPr lang="he-IL" sz="1100">
              <a:latin typeface="David" panose="020E0502060401010101" pitchFamily="34" charset="-79"/>
              <a:cs typeface="David" panose="020E0502060401010101" pitchFamily="34" charset="-79"/>
            </a:rPr>
            <a:t>- שיפוי תביעה: 1,050,000</a:t>
          </a:r>
        </a:p>
        <a:p>
          <a:pPr algn="r" rtl="1"/>
          <a:r>
            <a:rPr lang="he-IL" sz="1100">
              <a:latin typeface="David" panose="020E0502060401010101" pitchFamily="34" charset="-79"/>
              <a:cs typeface="David" panose="020E0502060401010101" pitchFamily="34" charset="-79"/>
            </a:rPr>
            <a:t>סה"כ: 1,130,000 ש"ח</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5. פקודות יומן:</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א. הכרה בהפרשה לאחריות:</a:t>
          </a:r>
        </a:p>
        <a:p>
          <a:pPr algn="r" rtl="1"/>
          <a:r>
            <a:rPr lang="he-IL" sz="1100">
              <a:latin typeface="David" panose="020E0502060401010101" pitchFamily="34" charset="-79"/>
              <a:cs typeface="David" panose="020E0502060401010101" pitchFamily="34" charset="-79"/>
            </a:rPr>
            <a:t>חובה הוצאות אחריות 15,745,838</a:t>
          </a:r>
        </a:p>
        <a:p>
          <a:pPr algn="r" rtl="1"/>
          <a:r>
            <a:rPr lang="he-IL" sz="1100">
              <a:latin typeface="David" panose="020E0502060401010101" pitchFamily="34" charset="-79"/>
              <a:cs typeface="David" panose="020E0502060401010101" pitchFamily="34" charset="-79"/>
            </a:rPr>
            <a:t>   זכות הפרשה לאחריות 15,745,838</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ב. הכרה בהפרשה לפגם בתוכנה:</a:t>
          </a:r>
        </a:p>
        <a:p>
          <a:pPr algn="r" rtl="1"/>
          <a:r>
            <a:rPr lang="he-IL" sz="1100">
              <a:latin typeface="David" panose="020E0502060401010101" pitchFamily="34" charset="-79"/>
              <a:cs typeface="David" panose="020E0502060401010101" pitchFamily="34" charset="-79"/>
            </a:rPr>
            <a:t>חובה הוצאות תיקון פגם 3,100,000</a:t>
          </a:r>
        </a:p>
        <a:p>
          <a:pPr algn="r" rtl="1"/>
          <a:r>
            <a:rPr lang="he-IL" sz="1100">
              <a:latin typeface="David" panose="020E0502060401010101" pitchFamily="34" charset="-79"/>
              <a:cs typeface="David" panose="020E0502060401010101" pitchFamily="34" charset="-79"/>
            </a:rPr>
            <a:t>   זכות הפרשה לתיקון פגם 3,100,000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ג. הכרה בשיפוי בגין פגם:</a:t>
          </a:r>
        </a:p>
        <a:p>
          <a:pPr algn="r" rtl="1"/>
          <a:r>
            <a:rPr lang="he-IL" sz="1100">
              <a:latin typeface="David" panose="020E0502060401010101" pitchFamily="34" charset="-79"/>
              <a:cs typeface="David" panose="020E0502060401010101" pitchFamily="34" charset="-79"/>
            </a:rPr>
            <a:t>חובה נכס שיפוי - ספק תוכנה 80,000</a:t>
          </a:r>
        </a:p>
        <a:p>
          <a:pPr algn="r" rtl="1"/>
          <a:r>
            <a:rPr lang="he-IL" sz="1100">
              <a:latin typeface="David" panose="020E0502060401010101" pitchFamily="34" charset="-79"/>
              <a:cs typeface="David" panose="020E0502060401010101" pitchFamily="34" charset="-79"/>
            </a:rPr>
            <a:t>   זכות הכנסות שיפוי 80,000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ד. הכרה בהפרשה לתביעה:</a:t>
          </a:r>
        </a:p>
        <a:p>
          <a:pPr algn="r" rtl="1"/>
          <a:r>
            <a:rPr lang="he-IL" sz="1100">
              <a:latin typeface="David" panose="020E0502060401010101" pitchFamily="34" charset="-79"/>
              <a:cs typeface="David" panose="020E0502060401010101" pitchFamily="34" charset="-79"/>
            </a:rPr>
            <a:t>חובה הוצאות תביעה 9,300,000</a:t>
          </a:r>
        </a:p>
        <a:p>
          <a:pPr algn="r" rtl="1"/>
          <a:r>
            <a:rPr lang="he-IL" sz="1100">
              <a:latin typeface="David" panose="020E0502060401010101" pitchFamily="34" charset="-79"/>
              <a:cs typeface="David" panose="020E0502060401010101" pitchFamily="34" charset="-79"/>
            </a:rPr>
            <a:t>   זכות הפרשה לתביעה 9,300,000</a:t>
          </a:r>
        </a:p>
        <a:p>
          <a:pPr algn="r" rtl="1"/>
          <a:endParaRPr lang="he-IL" sz="1100">
            <a:latin typeface="David" panose="020E0502060401010101" pitchFamily="34" charset="-79"/>
            <a:cs typeface="David" panose="020E0502060401010101" pitchFamily="34" charset="-79"/>
          </a:endParaRPr>
        </a:p>
        <a:p>
          <a:pPr algn="r" rtl="1"/>
          <a:r>
            <a:rPr lang="he-IL" sz="1100">
              <a:latin typeface="David" panose="020E0502060401010101" pitchFamily="34" charset="-79"/>
              <a:cs typeface="David" panose="020E0502060401010101" pitchFamily="34" charset="-79"/>
            </a:rPr>
            <a:t>ה. הכרה בשיפוי בגין תביעה:</a:t>
          </a:r>
        </a:p>
        <a:p>
          <a:pPr algn="r" rtl="1"/>
          <a:r>
            <a:rPr lang="he-IL" sz="1100">
              <a:latin typeface="David" panose="020E0502060401010101" pitchFamily="34" charset="-79"/>
              <a:cs typeface="David" panose="020E0502060401010101" pitchFamily="34" charset="-79"/>
            </a:rPr>
            <a:t>חובה נכס שיפוי - חברת ביטוח 1,050,000</a:t>
          </a:r>
        </a:p>
        <a:p>
          <a:pPr algn="r" rtl="1"/>
          <a:r>
            <a:rPr lang="he-IL" sz="1100">
              <a:latin typeface="David" panose="020E0502060401010101" pitchFamily="34" charset="-79"/>
              <a:cs typeface="David" panose="020E0502060401010101" pitchFamily="34" charset="-79"/>
            </a:rPr>
            <a:t>   זכות הכנסות שיפוי 1,050,000</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6</xdr:col>
      <xdr:colOff>422970</xdr:colOff>
      <xdr:row>78</xdr:row>
      <xdr:rowOff>110433</xdr:rowOff>
    </xdr:from>
    <xdr:to>
      <xdr:col>7</xdr:col>
      <xdr:colOff>289063</xdr:colOff>
      <xdr:row>80</xdr:row>
      <xdr:rowOff>191602</xdr:rowOff>
    </xdr:to>
    <xdr:pic>
      <xdr:nvPicPr>
        <xdr:cNvPr id="45" name="Picture 44">
          <a:extLst>
            <a:ext uri="{FF2B5EF4-FFF2-40B4-BE49-F238E27FC236}">
              <a16:creationId xmlns:a16="http://schemas.microsoft.com/office/drawing/2014/main" id="{4712E487-71E9-5E61-8BA1-35E52B0DC7B4}"/>
            </a:ext>
          </a:extLst>
        </xdr:cNvPr>
        <xdr:cNvPicPr>
          <a:picLocks noChangeAspect="1"/>
        </xdr:cNvPicPr>
      </xdr:nvPicPr>
      <xdr:blipFill>
        <a:blip xmlns:r="http://schemas.openxmlformats.org/officeDocument/2006/relationships" r:embed="rId2"/>
        <a:stretch>
          <a:fillRect/>
        </a:stretch>
      </xdr:blipFill>
      <xdr:spPr>
        <a:xfrm>
          <a:off x="13507658709" y="16171792"/>
          <a:ext cx="690903" cy="488397"/>
        </a:xfrm>
        <a:prstGeom prst="rect">
          <a:avLst/>
        </a:prstGeom>
      </xdr:spPr>
    </xdr:pic>
    <xdr:clientData/>
  </xdr:twoCellAnchor>
  <xdr:twoCellAnchor editAs="oneCell">
    <xdr:from>
      <xdr:col>3</xdr:col>
      <xdr:colOff>685252</xdr:colOff>
      <xdr:row>78</xdr:row>
      <xdr:rowOff>100080</xdr:rowOff>
    </xdr:from>
    <xdr:to>
      <xdr:col>4</xdr:col>
      <xdr:colOff>551345</xdr:colOff>
      <xdr:row>80</xdr:row>
      <xdr:rowOff>181249</xdr:rowOff>
    </xdr:to>
    <xdr:pic>
      <xdr:nvPicPr>
        <xdr:cNvPr id="46" name="Picture 45">
          <a:extLst>
            <a:ext uri="{FF2B5EF4-FFF2-40B4-BE49-F238E27FC236}">
              <a16:creationId xmlns:a16="http://schemas.microsoft.com/office/drawing/2014/main" id="{35FD59DD-AC19-FEC6-D169-91154E026671}"/>
            </a:ext>
          </a:extLst>
        </xdr:cNvPr>
        <xdr:cNvPicPr>
          <a:picLocks noChangeAspect="1"/>
        </xdr:cNvPicPr>
      </xdr:nvPicPr>
      <xdr:blipFill>
        <a:blip xmlns:r="http://schemas.openxmlformats.org/officeDocument/2006/relationships" r:embed="rId2"/>
        <a:stretch>
          <a:fillRect/>
        </a:stretch>
      </xdr:blipFill>
      <xdr:spPr>
        <a:xfrm>
          <a:off x="13509922623" y="16161439"/>
          <a:ext cx="690903" cy="488397"/>
        </a:xfrm>
        <a:prstGeom prst="rect">
          <a:avLst/>
        </a:prstGeom>
      </xdr:spPr>
    </xdr:pic>
    <xdr:clientData/>
  </xdr:twoCellAnchor>
  <xdr:twoCellAnchor editAs="oneCell">
    <xdr:from>
      <xdr:col>0</xdr:col>
      <xdr:colOff>540307</xdr:colOff>
      <xdr:row>78</xdr:row>
      <xdr:rowOff>113884</xdr:rowOff>
    </xdr:from>
    <xdr:to>
      <xdr:col>1</xdr:col>
      <xdr:colOff>406400</xdr:colOff>
      <xdr:row>80</xdr:row>
      <xdr:rowOff>195053</xdr:rowOff>
    </xdr:to>
    <xdr:pic>
      <xdr:nvPicPr>
        <xdr:cNvPr id="47" name="Picture 46">
          <a:extLst>
            <a:ext uri="{FF2B5EF4-FFF2-40B4-BE49-F238E27FC236}">
              <a16:creationId xmlns:a16="http://schemas.microsoft.com/office/drawing/2014/main" id="{B8032F4B-8016-8B71-9DEB-2389AD291973}"/>
            </a:ext>
          </a:extLst>
        </xdr:cNvPr>
        <xdr:cNvPicPr>
          <a:picLocks noChangeAspect="1"/>
        </xdr:cNvPicPr>
      </xdr:nvPicPr>
      <xdr:blipFill>
        <a:blip xmlns:r="http://schemas.openxmlformats.org/officeDocument/2006/relationships" r:embed="rId2"/>
        <a:stretch>
          <a:fillRect/>
        </a:stretch>
      </xdr:blipFill>
      <xdr:spPr>
        <a:xfrm>
          <a:off x="13512541997" y="16175243"/>
          <a:ext cx="690903" cy="488397"/>
        </a:xfrm>
        <a:prstGeom prst="rect">
          <a:avLst/>
        </a:prstGeom>
      </xdr:spPr>
    </xdr:pic>
    <xdr:clientData/>
  </xdr:twoCellAnchor>
  <xdr:twoCellAnchor editAs="oneCell">
    <xdr:from>
      <xdr:col>0</xdr:col>
      <xdr:colOff>529953</xdr:colOff>
      <xdr:row>86</xdr:row>
      <xdr:rowOff>24156</xdr:rowOff>
    </xdr:from>
    <xdr:to>
      <xdr:col>1</xdr:col>
      <xdr:colOff>396046</xdr:colOff>
      <xdr:row>88</xdr:row>
      <xdr:rowOff>105325</xdr:rowOff>
    </xdr:to>
    <xdr:pic>
      <xdr:nvPicPr>
        <xdr:cNvPr id="48" name="Picture 47">
          <a:extLst>
            <a:ext uri="{FF2B5EF4-FFF2-40B4-BE49-F238E27FC236}">
              <a16:creationId xmlns:a16="http://schemas.microsoft.com/office/drawing/2014/main" id="{710D806C-9805-B121-10D3-AF71A6B5BF61}"/>
            </a:ext>
          </a:extLst>
        </xdr:cNvPr>
        <xdr:cNvPicPr>
          <a:picLocks noChangeAspect="1"/>
        </xdr:cNvPicPr>
      </xdr:nvPicPr>
      <xdr:blipFill>
        <a:blip xmlns:r="http://schemas.openxmlformats.org/officeDocument/2006/relationships" r:embed="rId2"/>
        <a:stretch>
          <a:fillRect/>
        </a:stretch>
      </xdr:blipFill>
      <xdr:spPr>
        <a:xfrm>
          <a:off x="13512552351" y="17769645"/>
          <a:ext cx="690903" cy="488397"/>
        </a:xfrm>
        <a:prstGeom prst="rect">
          <a:avLst/>
        </a:prstGeom>
      </xdr:spPr>
    </xdr:pic>
    <xdr:clientData/>
  </xdr:twoCellAnchor>
  <xdr:twoCellAnchor>
    <xdr:from>
      <xdr:col>0</xdr:col>
      <xdr:colOff>93181</xdr:colOff>
      <xdr:row>88</xdr:row>
      <xdr:rowOff>165653</xdr:rowOff>
    </xdr:from>
    <xdr:to>
      <xdr:col>1</xdr:col>
      <xdr:colOff>776496</xdr:colOff>
      <xdr:row>93</xdr:row>
      <xdr:rowOff>100082</xdr:rowOff>
    </xdr:to>
    <xdr:sp macro="" textlink="">
      <xdr:nvSpPr>
        <xdr:cNvPr id="49" name="Rounded Rectangular Callout 48">
          <a:extLst>
            <a:ext uri="{FF2B5EF4-FFF2-40B4-BE49-F238E27FC236}">
              <a16:creationId xmlns:a16="http://schemas.microsoft.com/office/drawing/2014/main" id="{0C86EDA8-CC67-F793-1A92-E89B196E0FC5}"/>
            </a:ext>
          </a:extLst>
        </xdr:cNvPr>
        <xdr:cNvSpPr/>
      </xdr:nvSpPr>
      <xdr:spPr>
        <a:xfrm>
          <a:off x="13512171901" y="18318370"/>
          <a:ext cx="1508125" cy="952500"/>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כאשר המשפה (כגון חברת ביטוח) משלם ישירות לצד הניזוק. למשל: דפקתי למישהו את האוטו, וחברת הביטוח תשלם לו ישירות -</a:t>
          </a:r>
          <a:r>
            <a:rPr lang="he-IL" sz="800" baseline="0"/>
            <a:t> הכסף לא עובר בכלל דרכי</a:t>
          </a:r>
          <a:endParaRPr lang="en-US" sz="800"/>
        </a:p>
      </xdr:txBody>
    </xdr:sp>
    <xdr:clientData/>
  </xdr:twoCellAnchor>
  <xdr:twoCellAnchor>
    <xdr:from>
      <xdr:col>0</xdr:col>
      <xdr:colOff>738533</xdr:colOff>
      <xdr:row>93</xdr:row>
      <xdr:rowOff>138043</xdr:rowOff>
    </xdr:from>
    <xdr:to>
      <xdr:col>1</xdr:col>
      <xdr:colOff>96631</xdr:colOff>
      <xdr:row>94</xdr:row>
      <xdr:rowOff>189809</xdr:rowOff>
    </xdr:to>
    <xdr:sp macro="" textlink="">
      <xdr:nvSpPr>
        <xdr:cNvPr id="50" name="Down Arrow 49">
          <a:extLst>
            <a:ext uri="{FF2B5EF4-FFF2-40B4-BE49-F238E27FC236}">
              <a16:creationId xmlns:a16="http://schemas.microsoft.com/office/drawing/2014/main" id="{6494438E-C573-C56E-AC58-F9F1EC23EDD3}"/>
            </a:ext>
          </a:extLst>
        </xdr:cNvPr>
        <xdr:cNvSpPr/>
      </xdr:nvSpPr>
      <xdr:spPr>
        <a:xfrm>
          <a:off x="13512851766" y="19308831"/>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571366</xdr:colOff>
      <xdr:row>85</xdr:row>
      <xdr:rowOff>89727</xdr:rowOff>
    </xdr:from>
    <xdr:to>
      <xdr:col>4</xdr:col>
      <xdr:colOff>437459</xdr:colOff>
      <xdr:row>87</xdr:row>
      <xdr:rowOff>157092</xdr:rowOff>
    </xdr:to>
    <xdr:pic>
      <xdr:nvPicPr>
        <xdr:cNvPr id="51" name="Picture 50">
          <a:extLst>
            <a:ext uri="{FF2B5EF4-FFF2-40B4-BE49-F238E27FC236}">
              <a16:creationId xmlns:a16="http://schemas.microsoft.com/office/drawing/2014/main" id="{1C5F6A52-1EB4-AB45-21D6-E1EC6E059A39}"/>
            </a:ext>
          </a:extLst>
        </xdr:cNvPr>
        <xdr:cNvPicPr>
          <a:picLocks noChangeAspect="1"/>
        </xdr:cNvPicPr>
      </xdr:nvPicPr>
      <xdr:blipFill>
        <a:blip xmlns:r="http://schemas.openxmlformats.org/officeDocument/2006/relationships" r:embed="rId2"/>
        <a:stretch>
          <a:fillRect/>
        </a:stretch>
      </xdr:blipFill>
      <xdr:spPr>
        <a:xfrm>
          <a:off x="13510036509" y="17617798"/>
          <a:ext cx="690903" cy="488397"/>
        </a:xfrm>
        <a:prstGeom prst="rect">
          <a:avLst/>
        </a:prstGeom>
      </xdr:spPr>
    </xdr:pic>
    <xdr:clientData/>
  </xdr:twoCellAnchor>
  <xdr:twoCellAnchor>
    <xdr:from>
      <xdr:col>3</xdr:col>
      <xdr:colOff>65572</xdr:colOff>
      <xdr:row>88</xdr:row>
      <xdr:rowOff>1</xdr:rowOff>
    </xdr:from>
    <xdr:to>
      <xdr:col>4</xdr:col>
      <xdr:colOff>748887</xdr:colOff>
      <xdr:row>93</xdr:row>
      <xdr:rowOff>24158</xdr:rowOff>
    </xdr:to>
    <xdr:sp macro="" textlink="">
      <xdr:nvSpPr>
        <xdr:cNvPr id="52" name="Rounded Rectangular Callout 51">
          <a:extLst>
            <a:ext uri="{FF2B5EF4-FFF2-40B4-BE49-F238E27FC236}">
              <a16:creationId xmlns:a16="http://schemas.microsoft.com/office/drawing/2014/main" id="{AAAFFC73-3626-DBFF-779B-E1D4A5403707}"/>
            </a:ext>
          </a:extLst>
        </xdr:cNvPr>
        <xdr:cNvSpPr/>
      </xdr:nvSpPr>
      <xdr:spPr>
        <a:xfrm>
          <a:off x="13509725081" y="18152718"/>
          <a:ext cx="1508125" cy="1042228"/>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אם החברה בעצמה צריכה לשלם</a:t>
          </a:r>
          <a:r>
            <a:rPr lang="he-IL" sz="800" baseline="0"/>
            <a:t> (הכסף לא מועבר מהמשפה, כגון חברת ביטוח) עלינו לבדוק מה הסיכוי שנקבל את הכסף חזרה מהמבטח. אם הסיכוי גבוה מאד (קרוב לודאי) אז כמובן שנכס יוכר</a:t>
          </a:r>
          <a:endParaRPr lang="en-US" sz="800"/>
        </a:p>
      </xdr:txBody>
    </xdr:sp>
    <xdr:clientData/>
  </xdr:twoCellAnchor>
  <xdr:twoCellAnchor>
    <xdr:from>
      <xdr:col>3</xdr:col>
      <xdr:colOff>738533</xdr:colOff>
      <xdr:row>93</xdr:row>
      <xdr:rowOff>86277</xdr:rowOff>
    </xdr:from>
    <xdr:to>
      <xdr:col>4</xdr:col>
      <xdr:colOff>96631</xdr:colOff>
      <xdr:row>94</xdr:row>
      <xdr:rowOff>138043</xdr:rowOff>
    </xdr:to>
    <xdr:sp macro="" textlink="">
      <xdr:nvSpPr>
        <xdr:cNvPr id="53" name="Down Arrow 52">
          <a:extLst>
            <a:ext uri="{FF2B5EF4-FFF2-40B4-BE49-F238E27FC236}">
              <a16:creationId xmlns:a16="http://schemas.microsoft.com/office/drawing/2014/main" id="{2183FA1D-345E-FC10-C2DE-17CD27124876}"/>
            </a:ext>
          </a:extLst>
        </xdr:cNvPr>
        <xdr:cNvSpPr/>
      </xdr:nvSpPr>
      <xdr:spPr>
        <a:xfrm>
          <a:off x="13510377337" y="19257065"/>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562527</xdr:colOff>
      <xdr:row>109</xdr:row>
      <xdr:rowOff>127690</xdr:rowOff>
    </xdr:from>
    <xdr:to>
      <xdr:col>4</xdr:col>
      <xdr:colOff>428620</xdr:colOff>
      <xdr:row>112</xdr:row>
      <xdr:rowOff>5244</xdr:rowOff>
    </xdr:to>
    <xdr:pic>
      <xdr:nvPicPr>
        <xdr:cNvPr id="54" name="Picture 53">
          <a:extLst>
            <a:ext uri="{FF2B5EF4-FFF2-40B4-BE49-F238E27FC236}">
              <a16:creationId xmlns:a16="http://schemas.microsoft.com/office/drawing/2014/main" id="{E03B43A5-755C-4E41-B2AE-9060C1F2B803}"/>
            </a:ext>
          </a:extLst>
        </xdr:cNvPr>
        <xdr:cNvPicPr>
          <a:picLocks noChangeAspect="1"/>
        </xdr:cNvPicPr>
      </xdr:nvPicPr>
      <xdr:blipFill>
        <a:blip xmlns:r="http://schemas.openxmlformats.org/officeDocument/2006/relationships" r:embed="rId2"/>
        <a:stretch>
          <a:fillRect/>
        </a:stretch>
      </xdr:blipFill>
      <xdr:spPr>
        <a:xfrm>
          <a:off x="13510045348" y="22680543"/>
          <a:ext cx="690903" cy="488397"/>
        </a:xfrm>
        <a:prstGeom prst="rect">
          <a:avLst/>
        </a:prstGeom>
      </xdr:spPr>
    </xdr:pic>
    <xdr:clientData/>
  </xdr:twoCellAnchor>
  <xdr:twoCellAnchor>
    <xdr:from>
      <xdr:col>2</xdr:col>
      <xdr:colOff>824808</xdr:colOff>
      <xdr:row>111</xdr:row>
      <xdr:rowOff>203613</xdr:rowOff>
    </xdr:from>
    <xdr:to>
      <xdr:col>4</xdr:col>
      <xdr:colOff>790299</xdr:colOff>
      <xdr:row>121</xdr:row>
      <xdr:rowOff>189810</xdr:rowOff>
    </xdr:to>
    <xdr:sp macro="" textlink="">
      <xdr:nvSpPr>
        <xdr:cNvPr id="55" name="Rounded Rectangular Callout 54">
          <a:extLst>
            <a:ext uri="{FF2B5EF4-FFF2-40B4-BE49-F238E27FC236}">
              <a16:creationId xmlns:a16="http://schemas.microsoft.com/office/drawing/2014/main" id="{9C6DB604-D0CB-174D-BD27-883F0F19501D}"/>
            </a:ext>
          </a:extLst>
        </xdr:cNvPr>
        <xdr:cNvSpPr/>
      </xdr:nvSpPr>
      <xdr:spPr>
        <a:xfrm>
          <a:off x="13509683669" y="23163695"/>
          <a:ext cx="1615110" cy="2022338"/>
        </a:xfrm>
        <a:prstGeom prst="wedgeRoundRectCallout">
          <a:avLst>
            <a:gd name="adj1" fmla="val 2798"/>
            <a:gd name="adj2" fmla="val -5340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למשל: נניח</a:t>
          </a:r>
          <a:r>
            <a:rPr lang="he-IL" sz="800" baseline="0"/>
            <a:t> שבחברה נוצרה הפרשה לשלם לצד שלישי 10,000 ש״ח, וקרוב לודאי שחברת הביטוח תחזיר לי 8,000 ש״ח. </a:t>
          </a:r>
        </a:p>
        <a:p>
          <a:pPr algn="r" rtl="1"/>
          <a:endParaRPr lang="he-IL" sz="800" baseline="0"/>
        </a:p>
        <a:p>
          <a:pPr algn="r" rtl="1"/>
          <a:r>
            <a:rPr lang="he-IL" sz="800" baseline="0"/>
            <a:t>במאזן: </a:t>
          </a:r>
        </a:p>
        <a:p>
          <a:pPr algn="r" rtl="1"/>
          <a:r>
            <a:rPr lang="he-IL" sz="800" baseline="0"/>
            <a:t>התחייבויות - הפרשה: 10,000</a:t>
          </a:r>
        </a:p>
        <a:p>
          <a:pPr algn="r" rtl="1"/>
          <a:r>
            <a:rPr lang="he-IL" sz="800" baseline="0"/>
            <a:t>נכס - שיפוי: 8,000</a:t>
          </a:r>
        </a:p>
        <a:p>
          <a:pPr algn="r" rtl="1"/>
          <a:endParaRPr lang="he-IL" sz="800" baseline="0"/>
        </a:p>
        <a:p>
          <a:pPr algn="r" rtl="1"/>
          <a:r>
            <a:rPr lang="he-IL" sz="800" baseline="0"/>
            <a:t>ברמת רווח והפסד:</a:t>
          </a:r>
        </a:p>
        <a:p>
          <a:pPr algn="r" rtl="1"/>
          <a:r>
            <a:rPr lang="he-IL" sz="800" baseline="0"/>
            <a:t>שתי אפשרויות טיפול:</a:t>
          </a:r>
        </a:p>
        <a:p>
          <a:pPr algn="r" rtl="1"/>
          <a:r>
            <a:rPr lang="he-IL" sz="800" baseline="0"/>
            <a:t>1. הוצאה של 2,000 נטו</a:t>
          </a:r>
        </a:p>
        <a:p>
          <a:pPr algn="r" rtl="1"/>
          <a:r>
            <a:rPr lang="he-IL" sz="800" baseline="0"/>
            <a:t>2. הוצאות 10,000 והכנסות של 8,000</a:t>
          </a:r>
          <a:endParaRPr lang="en-US" sz="800"/>
        </a:p>
      </xdr:txBody>
    </xdr:sp>
    <xdr:clientData/>
  </xdr:twoCellAnchor>
  <xdr:twoCellAnchor editAs="oneCell">
    <xdr:from>
      <xdr:col>6</xdr:col>
      <xdr:colOff>488539</xdr:colOff>
      <xdr:row>85</xdr:row>
      <xdr:rowOff>17255</xdr:rowOff>
    </xdr:from>
    <xdr:to>
      <xdr:col>7</xdr:col>
      <xdr:colOff>354632</xdr:colOff>
      <xdr:row>87</xdr:row>
      <xdr:rowOff>84620</xdr:rowOff>
    </xdr:to>
    <xdr:pic>
      <xdr:nvPicPr>
        <xdr:cNvPr id="56" name="Picture 55">
          <a:extLst>
            <a:ext uri="{FF2B5EF4-FFF2-40B4-BE49-F238E27FC236}">
              <a16:creationId xmlns:a16="http://schemas.microsoft.com/office/drawing/2014/main" id="{B4BCF160-6833-F24D-07CF-753D134416A3}"/>
            </a:ext>
          </a:extLst>
        </xdr:cNvPr>
        <xdr:cNvPicPr>
          <a:picLocks noChangeAspect="1"/>
        </xdr:cNvPicPr>
      </xdr:nvPicPr>
      <xdr:blipFill>
        <a:blip xmlns:r="http://schemas.openxmlformats.org/officeDocument/2006/relationships" r:embed="rId2"/>
        <a:stretch>
          <a:fillRect/>
        </a:stretch>
      </xdr:blipFill>
      <xdr:spPr>
        <a:xfrm>
          <a:off x="13507593140" y="17545326"/>
          <a:ext cx="690903" cy="488397"/>
        </a:xfrm>
        <a:prstGeom prst="rect">
          <a:avLst/>
        </a:prstGeom>
      </xdr:spPr>
    </xdr:pic>
    <xdr:clientData/>
  </xdr:twoCellAnchor>
  <xdr:twoCellAnchor>
    <xdr:from>
      <xdr:col>6</xdr:col>
      <xdr:colOff>72474</xdr:colOff>
      <xdr:row>87</xdr:row>
      <xdr:rowOff>179457</xdr:rowOff>
    </xdr:from>
    <xdr:to>
      <xdr:col>7</xdr:col>
      <xdr:colOff>755789</xdr:colOff>
      <xdr:row>93</xdr:row>
      <xdr:rowOff>0</xdr:rowOff>
    </xdr:to>
    <xdr:sp macro="" textlink="">
      <xdr:nvSpPr>
        <xdr:cNvPr id="57" name="Rounded Rectangular Callout 56">
          <a:extLst>
            <a:ext uri="{FF2B5EF4-FFF2-40B4-BE49-F238E27FC236}">
              <a16:creationId xmlns:a16="http://schemas.microsoft.com/office/drawing/2014/main" id="{ECA72DE8-17B1-830D-5CBF-CD2694CE04E2}"/>
            </a:ext>
          </a:extLst>
        </xdr:cNvPr>
        <xdr:cNvSpPr/>
      </xdr:nvSpPr>
      <xdr:spPr>
        <a:xfrm>
          <a:off x="13507191983" y="18128560"/>
          <a:ext cx="1508125" cy="1042228"/>
        </a:xfrm>
        <a:prstGeom prst="wedgeRoundRectCallout">
          <a:avLst>
            <a:gd name="adj1" fmla="val 448"/>
            <a:gd name="adj2" fmla="val -59601"/>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אם ההסתברות שנקבל את הכסף חזרה מחברת הביטוח איננה</a:t>
          </a:r>
          <a:r>
            <a:rPr lang="he-IL" sz="800" baseline="0"/>
            <a:t> קרובה לודאית (גם אם יש סיכוי גבוה, אבל לא קרוב לודאי) הרי שנכס השיפוי הוא עדיין נכס תלוי. נכסים תלויים לא מוכרים</a:t>
          </a:r>
        </a:p>
      </xdr:txBody>
    </xdr:sp>
    <xdr:clientData/>
  </xdr:twoCellAnchor>
  <xdr:twoCellAnchor>
    <xdr:from>
      <xdr:col>6</xdr:col>
      <xdr:colOff>769592</xdr:colOff>
      <xdr:row>93</xdr:row>
      <xdr:rowOff>55218</xdr:rowOff>
    </xdr:from>
    <xdr:to>
      <xdr:col>7</xdr:col>
      <xdr:colOff>127690</xdr:colOff>
      <xdr:row>94</xdr:row>
      <xdr:rowOff>106984</xdr:rowOff>
    </xdr:to>
    <xdr:sp macro="" textlink="">
      <xdr:nvSpPr>
        <xdr:cNvPr id="58" name="Down Arrow 57">
          <a:extLst>
            <a:ext uri="{FF2B5EF4-FFF2-40B4-BE49-F238E27FC236}">
              <a16:creationId xmlns:a16="http://schemas.microsoft.com/office/drawing/2014/main" id="{629E5BB5-A591-260E-32E3-24388DC39917}"/>
            </a:ext>
          </a:extLst>
        </xdr:cNvPr>
        <xdr:cNvSpPr/>
      </xdr:nvSpPr>
      <xdr:spPr>
        <a:xfrm>
          <a:off x="13507820082" y="19226006"/>
          <a:ext cx="182908" cy="25538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355462</xdr:colOff>
      <xdr:row>99</xdr:row>
      <xdr:rowOff>141493</xdr:rowOff>
    </xdr:from>
    <xdr:to>
      <xdr:col>7</xdr:col>
      <xdr:colOff>221555</xdr:colOff>
      <xdr:row>102</xdr:row>
      <xdr:rowOff>5244</xdr:rowOff>
    </xdr:to>
    <xdr:pic>
      <xdr:nvPicPr>
        <xdr:cNvPr id="59" name="Picture 58">
          <a:extLst>
            <a:ext uri="{FF2B5EF4-FFF2-40B4-BE49-F238E27FC236}">
              <a16:creationId xmlns:a16="http://schemas.microsoft.com/office/drawing/2014/main" id="{D523A899-B840-0CF7-607F-84826EAB535F}"/>
            </a:ext>
          </a:extLst>
        </xdr:cNvPr>
        <xdr:cNvPicPr>
          <a:picLocks noChangeAspect="1"/>
        </xdr:cNvPicPr>
      </xdr:nvPicPr>
      <xdr:blipFill>
        <a:blip xmlns:r="http://schemas.openxmlformats.org/officeDocument/2006/relationships" r:embed="rId2"/>
        <a:stretch>
          <a:fillRect/>
        </a:stretch>
      </xdr:blipFill>
      <xdr:spPr>
        <a:xfrm>
          <a:off x="13507726217" y="20602988"/>
          <a:ext cx="690903" cy="488397"/>
        </a:xfrm>
        <a:prstGeom prst="rect">
          <a:avLst/>
        </a:prstGeom>
      </xdr:spPr>
    </xdr:pic>
    <xdr:clientData/>
  </xdr:twoCellAnchor>
  <xdr:twoCellAnchor>
    <xdr:from>
      <xdr:col>5</xdr:col>
      <xdr:colOff>741983</xdr:colOff>
      <xdr:row>102</xdr:row>
      <xdr:rowOff>96629</xdr:rowOff>
    </xdr:from>
    <xdr:to>
      <xdr:col>7</xdr:col>
      <xdr:colOff>707473</xdr:colOff>
      <xdr:row>113</xdr:row>
      <xdr:rowOff>196712</xdr:rowOff>
    </xdr:to>
    <xdr:sp macro="" textlink="">
      <xdr:nvSpPr>
        <xdr:cNvPr id="60" name="Rounded Rectangular Callout 59">
          <a:extLst>
            <a:ext uri="{FF2B5EF4-FFF2-40B4-BE49-F238E27FC236}">
              <a16:creationId xmlns:a16="http://schemas.microsoft.com/office/drawing/2014/main" id="{248E832B-AAE4-5541-305F-E162FE071D9C}"/>
            </a:ext>
          </a:extLst>
        </xdr:cNvPr>
        <xdr:cNvSpPr/>
      </xdr:nvSpPr>
      <xdr:spPr>
        <a:xfrm>
          <a:off x="13507240299" y="21182770"/>
          <a:ext cx="1615110" cy="2381252"/>
        </a:xfrm>
        <a:prstGeom prst="wedgeRoundRectCallout">
          <a:avLst>
            <a:gd name="adj1" fmla="val 2798"/>
            <a:gd name="adj2" fmla="val -5340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למשל: נניח</a:t>
          </a:r>
          <a:r>
            <a:rPr lang="he-IL" sz="800" baseline="0"/>
            <a:t> שבחברה נוצרה הפרשה לשלם לצד שלישי 10,000 ש״ח, ויש סיכוי גבוה (אך לא קרוב לודאי) שיתקבל החזר מהמבטח של 8,000</a:t>
          </a:r>
        </a:p>
        <a:p>
          <a:pPr algn="r" rtl="1"/>
          <a:endParaRPr lang="he-IL" sz="800" baseline="0"/>
        </a:p>
        <a:p>
          <a:pPr algn="r" rtl="1"/>
          <a:r>
            <a:rPr lang="he-IL" sz="800" baseline="0"/>
            <a:t>במאזן: </a:t>
          </a:r>
        </a:p>
        <a:p>
          <a:pPr algn="r" rtl="1"/>
          <a:r>
            <a:rPr lang="he-IL" sz="800" baseline="0"/>
            <a:t>התחייבויות - הפרשה: 10,000</a:t>
          </a:r>
        </a:p>
        <a:p>
          <a:pPr algn="r" rtl="1"/>
          <a:r>
            <a:rPr lang="he-IL" sz="800" baseline="0"/>
            <a:t>נכס - שיפוי: לא יוכר</a:t>
          </a:r>
        </a:p>
        <a:p>
          <a:pPr algn="r" rtl="1"/>
          <a:endParaRPr lang="he-IL" sz="800" baseline="0"/>
        </a:p>
        <a:p>
          <a:pPr algn="r" rtl="1"/>
          <a:r>
            <a:rPr lang="he-IL" sz="800" baseline="0"/>
            <a:t>ברמת רווח והפסד:</a:t>
          </a:r>
        </a:p>
        <a:p>
          <a:pPr algn="r" rtl="1"/>
          <a:r>
            <a:rPr lang="he-IL" sz="800" baseline="0"/>
            <a:t>הוצאות 10,000 </a:t>
          </a:r>
        </a:p>
        <a:p>
          <a:pPr algn="r" rtl="1"/>
          <a:r>
            <a:rPr lang="he-IL" sz="800" baseline="0"/>
            <a:t>הכנסות - לא יוכרו. </a:t>
          </a:r>
        </a:p>
        <a:p>
          <a:pPr algn="r" rtl="1"/>
          <a:endParaRPr lang="he-IL" sz="800" baseline="0"/>
        </a:p>
        <a:p>
          <a:pPr algn="r" rtl="1"/>
          <a:r>
            <a:rPr lang="he-IL" sz="800" baseline="0"/>
            <a:t>אז איפה כן נציג למשקיע את העובדה שיש ביטוח? בחפירות למטה (ביאורים)</a:t>
          </a:r>
          <a:endParaRPr lang="en-US" sz="800"/>
        </a:p>
      </xdr:txBody>
    </xdr:sp>
    <xdr:clientData/>
  </xdr:twoCellAnchor>
  <xdr:twoCellAnchor editAs="oneCell">
    <xdr:from>
      <xdr:col>1</xdr:col>
      <xdr:colOff>111698</xdr:colOff>
      <xdr:row>99</xdr:row>
      <xdr:rowOff>210516</xdr:rowOff>
    </xdr:from>
    <xdr:to>
      <xdr:col>2</xdr:col>
      <xdr:colOff>287703</xdr:colOff>
      <xdr:row>103</xdr:row>
      <xdr:rowOff>89729</xdr:rowOff>
    </xdr:to>
    <xdr:pic>
      <xdr:nvPicPr>
        <xdr:cNvPr id="61" name="Picture 60">
          <a:extLst>
            <a:ext uri="{FF2B5EF4-FFF2-40B4-BE49-F238E27FC236}">
              <a16:creationId xmlns:a16="http://schemas.microsoft.com/office/drawing/2014/main" id="{F7BC7023-2F42-C9D8-9C10-D063EB947B78}"/>
            </a:ext>
          </a:extLst>
        </xdr:cNvPr>
        <xdr:cNvPicPr>
          <a:picLocks noChangeAspect="1"/>
        </xdr:cNvPicPr>
      </xdr:nvPicPr>
      <xdr:blipFill>
        <a:blip xmlns:r="http://schemas.openxmlformats.org/officeDocument/2006/relationships" r:embed="rId2"/>
        <a:stretch>
          <a:fillRect/>
        </a:stretch>
      </xdr:blipFill>
      <xdr:spPr>
        <a:xfrm>
          <a:off x="13511835884" y="20672011"/>
          <a:ext cx="1000815" cy="707473"/>
        </a:xfrm>
        <a:prstGeom prst="rect">
          <a:avLst/>
        </a:prstGeom>
      </xdr:spPr>
    </xdr:pic>
    <xdr:clientData/>
  </xdr:twoCellAnchor>
  <xdr:twoCellAnchor>
    <xdr:from>
      <xdr:col>0</xdr:col>
      <xdr:colOff>62119</xdr:colOff>
      <xdr:row>103</xdr:row>
      <xdr:rowOff>37962</xdr:rowOff>
    </xdr:from>
    <xdr:to>
      <xdr:col>2</xdr:col>
      <xdr:colOff>27609</xdr:colOff>
      <xdr:row>105</xdr:row>
      <xdr:rowOff>31060</xdr:rowOff>
    </xdr:to>
    <xdr:sp macro="" textlink="">
      <xdr:nvSpPr>
        <xdr:cNvPr id="62" name="Rounded Rectangular Callout 61">
          <a:extLst>
            <a:ext uri="{FF2B5EF4-FFF2-40B4-BE49-F238E27FC236}">
              <a16:creationId xmlns:a16="http://schemas.microsoft.com/office/drawing/2014/main" id="{96924C78-3CB4-CA00-8021-E9422A2B1E1C}"/>
            </a:ext>
          </a:extLst>
        </xdr:cNvPr>
        <xdr:cNvSpPr/>
      </xdr:nvSpPr>
      <xdr:spPr>
        <a:xfrm>
          <a:off x="13512095978" y="21327717"/>
          <a:ext cx="1615110" cy="414131"/>
        </a:xfrm>
        <a:prstGeom prst="wedgeRoundRectCallout">
          <a:avLst>
            <a:gd name="adj1" fmla="val 8781"/>
            <a:gd name="adj2" fmla="val -67392"/>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זה לא מעניין אותי בדיווחים אני הולכת לישון </a:t>
          </a:r>
          <a:endParaRPr lang="en-US" sz="800"/>
        </a:p>
      </xdr:txBody>
    </xdr:sp>
    <xdr:clientData/>
  </xdr:twoCellAnchor>
  <xdr:twoCellAnchor>
    <xdr:from>
      <xdr:col>1</xdr:col>
      <xdr:colOff>500408</xdr:colOff>
      <xdr:row>101</xdr:row>
      <xdr:rowOff>186359</xdr:rowOff>
    </xdr:from>
    <xdr:to>
      <xdr:col>1</xdr:col>
      <xdr:colOff>621196</xdr:colOff>
      <xdr:row>102</xdr:row>
      <xdr:rowOff>89729</xdr:rowOff>
    </xdr:to>
    <xdr:sp macro="" textlink="">
      <xdr:nvSpPr>
        <xdr:cNvPr id="63" name="Oval 62">
          <a:extLst>
            <a:ext uri="{FF2B5EF4-FFF2-40B4-BE49-F238E27FC236}">
              <a16:creationId xmlns:a16="http://schemas.microsoft.com/office/drawing/2014/main" id="{FD49D151-DE4D-8AED-175C-24D77156DCED}"/>
            </a:ext>
          </a:extLst>
        </xdr:cNvPr>
        <xdr:cNvSpPr/>
      </xdr:nvSpPr>
      <xdr:spPr>
        <a:xfrm>
          <a:off x="13512327201" y="21068886"/>
          <a:ext cx="120788" cy="106984"/>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365815</xdr:colOff>
      <xdr:row>102</xdr:row>
      <xdr:rowOff>10354</xdr:rowOff>
    </xdr:from>
    <xdr:to>
      <xdr:col>1</xdr:col>
      <xdr:colOff>486603</xdr:colOff>
      <xdr:row>102</xdr:row>
      <xdr:rowOff>117338</xdr:rowOff>
    </xdr:to>
    <xdr:sp macro="" textlink="">
      <xdr:nvSpPr>
        <xdr:cNvPr id="64" name="Oval 63">
          <a:extLst>
            <a:ext uri="{FF2B5EF4-FFF2-40B4-BE49-F238E27FC236}">
              <a16:creationId xmlns:a16="http://schemas.microsoft.com/office/drawing/2014/main" id="{9DCE8096-A129-B73E-2EB5-D88B5F519B99}"/>
            </a:ext>
          </a:extLst>
        </xdr:cNvPr>
        <xdr:cNvSpPr/>
      </xdr:nvSpPr>
      <xdr:spPr>
        <a:xfrm>
          <a:off x="13512461794" y="21096495"/>
          <a:ext cx="120788" cy="106984"/>
        </a:xfrm>
        <a:prstGeom prst="ellipse">
          <a:avLst/>
        </a:prstGeom>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537180</xdr:colOff>
      <xdr:row>271</xdr:row>
      <xdr:rowOff>195641</xdr:rowOff>
    </xdr:from>
    <xdr:to>
      <xdr:col>7</xdr:col>
      <xdr:colOff>765615</xdr:colOff>
      <xdr:row>275</xdr:row>
      <xdr:rowOff>34255</xdr:rowOff>
    </xdr:to>
    <xdr:pic>
      <xdr:nvPicPr>
        <xdr:cNvPr id="66" name="Picture 65">
          <a:extLst>
            <a:ext uri="{FF2B5EF4-FFF2-40B4-BE49-F238E27FC236}">
              <a16:creationId xmlns:a16="http://schemas.microsoft.com/office/drawing/2014/main" id="{E9C3C53C-BC80-B157-0B78-956F70DE4B54}"/>
            </a:ext>
          </a:extLst>
        </xdr:cNvPr>
        <xdr:cNvPicPr>
          <a:picLocks noChangeAspect="1"/>
        </xdr:cNvPicPr>
      </xdr:nvPicPr>
      <xdr:blipFill>
        <a:blip xmlns:r="http://schemas.openxmlformats.org/officeDocument/2006/relationships" r:embed="rId3"/>
        <a:stretch>
          <a:fillRect/>
        </a:stretch>
      </xdr:blipFill>
      <xdr:spPr>
        <a:xfrm>
          <a:off x="13521199607" y="55700941"/>
          <a:ext cx="1054100" cy="647700"/>
        </a:xfrm>
        <a:prstGeom prst="rect">
          <a:avLst/>
        </a:prstGeom>
      </xdr:spPr>
    </xdr:pic>
    <xdr:clientData/>
  </xdr:twoCellAnchor>
  <xdr:twoCellAnchor editAs="oneCell">
    <xdr:from>
      <xdr:col>0</xdr:col>
      <xdr:colOff>233239</xdr:colOff>
      <xdr:row>325</xdr:row>
      <xdr:rowOff>105833</xdr:rowOff>
    </xdr:from>
    <xdr:to>
      <xdr:col>1</xdr:col>
      <xdr:colOff>735843</xdr:colOff>
      <xdr:row>332</xdr:row>
      <xdr:rowOff>183091</xdr:rowOff>
    </xdr:to>
    <xdr:pic>
      <xdr:nvPicPr>
        <xdr:cNvPr id="68" name="Picture 67">
          <a:extLst>
            <a:ext uri="{FF2B5EF4-FFF2-40B4-BE49-F238E27FC236}">
              <a16:creationId xmlns:a16="http://schemas.microsoft.com/office/drawing/2014/main" id="{C32E7148-51DE-0620-E5CA-5ABE7E25F480}"/>
            </a:ext>
          </a:extLst>
        </xdr:cNvPr>
        <xdr:cNvPicPr>
          <a:picLocks noChangeAspect="1"/>
        </xdr:cNvPicPr>
      </xdr:nvPicPr>
      <xdr:blipFill>
        <a:blip xmlns:r="http://schemas.openxmlformats.org/officeDocument/2006/relationships" r:embed="rId4"/>
        <a:stretch>
          <a:fillRect/>
        </a:stretch>
      </xdr:blipFill>
      <xdr:spPr>
        <a:xfrm>
          <a:off x="13498955943" y="67030297"/>
          <a:ext cx="1326592" cy="1506008"/>
        </a:xfrm>
        <a:prstGeom prst="rect">
          <a:avLst/>
        </a:prstGeom>
      </xdr:spPr>
    </xdr:pic>
    <xdr:clientData/>
  </xdr:twoCellAnchor>
  <xdr:twoCellAnchor editAs="oneCell">
    <xdr:from>
      <xdr:col>4</xdr:col>
      <xdr:colOff>495529</xdr:colOff>
      <xdr:row>354</xdr:row>
      <xdr:rowOff>66523</xdr:rowOff>
    </xdr:from>
    <xdr:to>
      <xdr:col>9</xdr:col>
      <xdr:colOff>684027</xdr:colOff>
      <xdr:row>360</xdr:row>
      <xdr:rowOff>142698</xdr:rowOff>
    </xdr:to>
    <xdr:pic>
      <xdr:nvPicPr>
        <xdr:cNvPr id="71" name="Picture 70">
          <a:extLst>
            <a:ext uri="{FF2B5EF4-FFF2-40B4-BE49-F238E27FC236}">
              <a16:creationId xmlns:a16="http://schemas.microsoft.com/office/drawing/2014/main" id="{9540E62A-EB49-B86D-F956-002605F973A8}"/>
            </a:ext>
          </a:extLst>
        </xdr:cNvPr>
        <xdr:cNvPicPr>
          <a:picLocks noChangeAspect="1"/>
        </xdr:cNvPicPr>
      </xdr:nvPicPr>
      <xdr:blipFill>
        <a:blip xmlns:r="http://schemas.openxmlformats.org/officeDocument/2006/relationships" r:embed="rId5"/>
        <a:stretch>
          <a:fillRect/>
        </a:stretch>
      </xdr:blipFill>
      <xdr:spPr>
        <a:xfrm>
          <a:off x="13541060159" y="72774843"/>
          <a:ext cx="4608886" cy="129695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800044</xdr:colOff>
      <xdr:row>252</xdr:row>
      <xdr:rowOff>23943</xdr:rowOff>
    </xdr:from>
    <xdr:to>
      <xdr:col>4</xdr:col>
      <xdr:colOff>40395</xdr:colOff>
      <xdr:row>260</xdr:row>
      <xdr:rowOff>89515</xdr:rowOff>
    </xdr:to>
    <xdr:sp macro="" textlink="">
      <xdr:nvSpPr>
        <xdr:cNvPr id="2" name="Rectangle 1">
          <a:extLst>
            <a:ext uri="{FF2B5EF4-FFF2-40B4-BE49-F238E27FC236}">
              <a16:creationId xmlns:a16="http://schemas.microsoft.com/office/drawing/2014/main" id="{2E605953-DC03-274E-8E91-0370D21975B9}"/>
            </a:ext>
          </a:extLst>
        </xdr:cNvPr>
        <xdr:cNvSpPr/>
      </xdr:nvSpPr>
      <xdr:spPr>
        <a:xfrm>
          <a:off x="13521649605" y="42238743"/>
          <a:ext cx="891351" cy="169117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380439</xdr:colOff>
      <xdr:row>254</xdr:row>
      <xdr:rowOff>128677</xdr:rowOff>
    </xdr:from>
    <xdr:to>
      <xdr:col>3</xdr:col>
      <xdr:colOff>548280</xdr:colOff>
      <xdr:row>257</xdr:row>
      <xdr:rowOff>106299</xdr:rowOff>
    </xdr:to>
    <xdr:sp macro="" textlink="">
      <xdr:nvSpPr>
        <xdr:cNvPr id="3" name="Rectangle 2">
          <a:extLst>
            <a:ext uri="{FF2B5EF4-FFF2-40B4-BE49-F238E27FC236}">
              <a16:creationId xmlns:a16="http://schemas.microsoft.com/office/drawing/2014/main" id="{F9882E3E-F08C-D648-85B4-CD5CB5568BD0}"/>
            </a:ext>
          </a:extLst>
        </xdr:cNvPr>
        <xdr:cNvSpPr/>
      </xdr:nvSpPr>
      <xdr:spPr>
        <a:xfrm>
          <a:off x="13521967220" y="42749877"/>
          <a:ext cx="167841" cy="587222"/>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252</xdr:row>
      <xdr:rowOff>162246</xdr:rowOff>
    </xdr:from>
    <xdr:to>
      <xdr:col>3</xdr:col>
      <xdr:colOff>788854</xdr:colOff>
      <xdr:row>253</xdr:row>
      <xdr:rowOff>166275</xdr:rowOff>
    </xdr:to>
    <xdr:sp macro="" textlink="">
      <xdr:nvSpPr>
        <xdr:cNvPr id="4" name="Rectangle 3">
          <a:extLst>
            <a:ext uri="{FF2B5EF4-FFF2-40B4-BE49-F238E27FC236}">
              <a16:creationId xmlns:a16="http://schemas.microsoft.com/office/drawing/2014/main" id="{B2E9B379-2F8A-5443-9CB9-1D66CF88A5AB}"/>
            </a:ext>
          </a:extLst>
        </xdr:cNvPr>
        <xdr:cNvSpPr/>
      </xdr:nvSpPr>
      <xdr:spPr>
        <a:xfrm>
          <a:off x="13521726646" y="42377046"/>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254</xdr:row>
      <xdr:rowOff>145462</xdr:rowOff>
    </xdr:from>
    <xdr:to>
      <xdr:col>3</xdr:col>
      <xdr:colOff>788854</xdr:colOff>
      <xdr:row>255</xdr:row>
      <xdr:rowOff>149490</xdr:rowOff>
    </xdr:to>
    <xdr:sp macro="" textlink="">
      <xdr:nvSpPr>
        <xdr:cNvPr id="5" name="Rectangle 4">
          <a:extLst>
            <a:ext uri="{FF2B5EF4-FFF2-40B4-BE49-F238E27FC236}">
              <a16:creationId xmlns:a16="http://schemas.microsoft.com/office/drawing/2014/main" id="{05291FB1-8F07-5147-8576-24C6439CAE4C}"/>
            </a:ext>
          </a:extLst>
        </xdr:cNvPr>
        <xdr:cNvSpPr/>
      </xdr:nvSpPr>
      <xdr:spPr>
        <a:xfrm>
          <a:off x="13521726646" y="42766662"/>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256</xdr:row>
      <xdr:rowOff>100705</xdr:rowOff>
    </xdr:from>
    <xdr:to>
      <xdr:col>3</xdr:col>
      <xdr:colOff>788854</xdr:colOff>
      <xdr:row>257</xdr:row>
      <xdr:rowOff>104733</xdr:rowOff>
    </xdr:to>
    <xdr:sp macro="" textlink="">
      <xdr:nvSpPr>
        <xdr:cNvPr id="6" name="Rectangle 5">
          <a:extLst>
            <a:ext uri="{FF2B5EF4-FFF2-40B4-BE49-F238E27FC236}">
              <a16:creationId xmlns:a16="http://schemas.microsoft.com/office/drawing/2014/main" id="{2C5A8C28-6E6A-8947-AF40-08FBB5805DA1}"/>
            </a:ext>
          </a:extLst>
        </xdr:cNvPr>
        <xdr:cNvSpPr/>
      </xdr:nvSpPr>
      <xdr:spPr>
        <a:xfrm>
          <a:off x="13521726646" y="43128305"/>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614188</xdr:colOff>
      <xdr:row>258</xdr:row>
      <xdr:rowOff>22378</xdr:rowOff>
    </xdr:from>
    <xdr:to>
      <xdr:col>3</xdr:col>
      <xdr:colOff>788854</xdr:colOff>
      <xdr:row>259</xdr:row>
      <xdr:rowOff>26407</xdr:rowOff>
    </xdr:to>
    <xdr:sp macro="" textlink="">
      <xdr:nvSpPr>
        <xdr:cNvPr id="7" name="Rectangle 6">
          <a:extLst>
            <a:ext uri="{FF2B5EF4-FFF2-40B4-BE49-F238E27FC236}">
              <a16:creationId xmlns:a16="http://schemas.microsoft.com/office/drawing/2014/main" id="{37C24CB6-2AE4-FF4F-B473-41C91FD8EA06}"/>
            </a:ext>
          </a:extLst>
        </xdr:cNvPr>
        <xdr:cNvSpPr/>
      </xdr:nvSpPr>
      <xdr:spPr>
        <a:xfrm>
          <a:off x="13521726646" y="43456378"/>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252</xdr:row>
      <xdr:rowOff>162246</xdr:rowOff>
    </xdr:from>
    <xdr:to>
      <xdr:col>3</xdr:col>
      <xdr:colOff>302114</xdr:colOff>
      <xdr:row>253</xdr:row>
      <xdr:rowOff>166275</xdr:rowOff>
    </xdr:to>
    <xdr:sp macro="" textlink="">
      <xdr:nvSpPr>
        <xdr:cNvPr id="8" name="Rectangle 7">
          <a:extLst>
            <a:ext uri="{FF2B5EF4-FFF2-40B4-BE49-F238E27FC236}">
              <a16:creationId xmlns:a16="http://schemas.microsoft.com/office/drawing/2014/main" id="{52344504-4A55-1047-BFEC-00605296166B}"/>
            </a:ext>
          </a:extLst>
        </xdr:cNvPr>
        <xdr:cNvSpPr/>
      </xdr:nvSpPr>
      <xdr:spPr>
        <a:xfrm>
          <a:off x="13522213386" y="42377046"/>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254</xdr:row>
      <xdr:rowOff>134273</xdr:rowOff>
    </xdr:from>
    <xdr:to>
      <xdr:col>3</xdr:col>
      <xdr:colOff>302114</xdr:colOff>
      <xdr:row>255</xdr:row>
      <xdr:rowOff>138301</xdr:rowOff>
    </xdr:to>
    <xdr:sp macro="" textlink="">
      <xdr:nvSpPr>
        <xdr:cNvPr id="9" name="Rectangle 8">
          <a:extLst>
            <a:ext uri="{FF2B5EF4-FFF2-40B4-BE49-F238E27FC236}">
              <a16:creationId xmlns:a16="http://schemas.microsoft.com/office/drawing/2014/main" id="{F8812843-4402-214B-B546-AE6F825F3A8A}"/>
            </a:ext>
          </a:extLst>
        </xdr:cNvPr>
        <xdr:cNvSpPr/>
      </xdr:nvSpPr>
      <xdr:spPr>
        <a:xfrm>
          <a:off x="13522213386" y="42755473"/>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133042</xdr:colOff>
      <xdr:row>256</xdr:row>
      <xdr:rowOff>117489</xdr:rowOff>
    </xdr:from>
    <xdr:to>
      <xdr:col>3</xdr:col>
      <xdr:colOff>307708</xdr:colOff>
      <xdr:row>257</xdr:row>
      <xdr:rowOff>121517</xdr:rowOff>
    </xdr:to>
    <xdr:sp macro="" textlink="">
      <xdr:nvSpPr>
        <xdr:cNvPr id="10" name="Rectangle 9">
          <a:extLst>
            <a:ext uri="{FF2B5EF4-FFF2-40B4-BE49-F238E27FC236}">
              <a16:creationId xmlns:a16="http://schemas.microsoft.com/office/drawing/2014/main" id="{D75180B6-403F-8E47-85EB-CEFEAC81E016}"/>
            </a:ext>
          </a:extLst>
        </xdr:cNvPr>
        <xdr:cNvSpPr/>
      </xdr:nvSpPr>
      <xdr:spPr>
        <a:xfrm>
          <a:off x="13522207792" y="43145089"/>
          <a:ext cx="174666" cy="207228"/>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127448</xdr:colOff>
      <xdr:row>258</xdr:row>
      <xdr:rowOff>39162</xdr:rowOff>
    </xdr:from>
    <xdr:to>
      <xdr:col>3</xdr:col>
      <xdr:colOff>302114</xdr:colOff>
      <xdr:row>259</xdr:row>
      <xdr:rowOff>43191</xdr:rowOff>
    </xdr:to>
    <xdr:sp macro="" textlink="">
      <xdr:nvSpPr>
        <xdr:cNvPr id="11" name="Rectangle 10">
          <a:extLst>
            <a:ext uri="{FF2B5EF4-FFF2-40B4-BE49-F238E27FC236}">
              <a16:creationId xmlns:a16="http://schemas.microsoft.com/office/drawing/2014/main" id="{02E0DCB5-F8B4-C84A-8298-579C63175F10}"/>
            </a:ext>
          </a:extLst>
        </xdr:cNvPr>
        <xdr:cNvSpPr/>
      </xdr:nvSpPr>
      <xdr:spPr>
        <a:xfrm>
          <a:off x="13522213386" y="43473162"/>
          <a:ext cx="174666" cy="207229"/>
        </a:xfrm>
        <a:prstGeom prst="rect">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469956</xdr:colOff>
      <xdr:row>252</xdr:row>
      <xdr:rowOff>190220</xdr:rowOff>
    </xdr:from>
    <xdr:to>
      <xdr:col>3</xdr:col>
      <xdr:colOff>475550</xdr:colOff>
      <xdr:row>254</xdr:row>
      <xdr:rowOff>156653</xdr:rowOff>
    </xdr:to>
    <xdr:cxnSp macro="">
      <xdr:nvCxnSpPr>
        <xdr:cNvPr id="12" name="Straight Arrow Connector 11">
          <a:extLst>
            <a:ext uri="{FF2B5EF4-FFF2-40B4-BE49-F238E27FC236}">
              <a16:creationId xmlns:a16="http://schemas.microsoft.com/office/drawing/2014/main" id="{C6D84837-9360-5841-94F5-2C061522949C}"/>
            </a:ext>
          </a:extLst>
        </xdr:cNvPr>
        <xdr:cNvCxnSpPr/>
      </xdr:nvCxnSpPr>
      <xdr:spPr>
        <a:xfrm flipV="1">
          <a:off x="13522039950" y="42405020"/>
          <a:ext cx="5594" cy="372833"/>
        </a:xfrm>
        <a:prstGeom prst="straightConnector1">
          <a:avLst/>
        </a:prstGeom>
        <a:ln>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xdr:col>
      <xdr:colOff>453172</xdr:colOff>
      <xdr:row>257</xdr:row>
      <xdr:rowOff>100706</xdr:rowOff>
    </xdr:from>
    <xdr:to>
      <xdr:col>3</xdr:col>
      <xdr:colOff>458766</xdr:colOff>
      <xdr:row>259</xdr:row>
      <xdr:rowOff>27974</xdr:rowOff>
    </xdr:to>
    <xdr:cxnSp macro="">
      <xdr:nvCxnSpPr>
        <xdr:cNvPr id="13" name="Straight Arrow Connector 12">
          <a:extLst>
            <a:ext uri="{FF2B5EF4-FFF2-40B4-BE49-F238E27FC236}">
              <a16:creationId xmlns:a16="http://schemas.microsoft.com/office/drawing/2014/main" id="{A5BF9A67-C204-8746-91E9-97934D8F2D3C}"/>
            </a:ext>
          </a:extLst>
        </xdr:cNvPr>
        <xdr:cNvCxnSpPr/>
      </xdr:nvCxnSpPr>
      <xdr:spPr>
        <a:xfrm>
          <a:off x="13522056734" y="43331506"/>
          <a:ext cx="5594" cy="333668"/>
        </a:xfrm>
        <a:prstGeom prst="straightConnector1">
          <a:avLst/>
        </a:prstGeom>
        <a:ln>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xdr:col>
      <xdr:colOff>800041</xdr:colOff>
      <xdr:row>250</xdr:row>
      <xdr:rowOff>93229</xdr:rowOff>
    </xdr:from>
    <xdr:to>
      <xdr:col>5</xdr:col>
      <xdr:colOff>54065</xdr:colOff>
      <xdr:row>252</xdr:row>
      <xdr:rowOff>61542</xdr:rowOff>
    </xdr:to>
    <xdr:sp macro="" textlink="">
      <xdr:nvSpPr>
        <xdr:cNvPr id="14" name="Right Brace 13">
          <a:extLst>
            <a:ext uri="{FF2B5EF4-FFF2-40B4-BE49-F238E27FC236}">
              <a16:creationId xmlns:a16="http://schemas.microsoft.com/office/drawing/2014/main" id="{784027C9-48A3-484E-9033-A34D462BD610}"/>
            </a:ext>
          </a:extLst>
        </xdr:cNvPr>
        <xdr:cNvSpPr/>
      </xdr:nvSpPr>
      <xdr:spPr>
        <a:xfrm rot="16200000">
          <a:off x="13521901090" y="40810974"/>
          <a:ext cx="374713" cy="2556024"/>
        </a:xfrm>
        <a:prstGeom prst="righ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492335</xdr:colOff>
      <xdr:row>256</xdr:row>
      <xdr:rowOff>12755</xdr:rowOff>
    </xdr:from>
    <xdr:to>
      <xdr:col>3</xdr:col>
      <xdr:colOff>409646</xdr:colOff>
      <xdr:row>256</xdr:row>
      <xdr:rowOff>72732</xdr:rowOff>
    </xdr:to>
    <xdr:cxnSp macro="">
      <xdr:nvCxnSpPr>
        <xdr:cNvPr id="15" name="Straight Arrow Connector 14">
          <a:extLst>
            <a:ext uri="{FF2B5EF4-FFF2-40B4-BE49-F238E27FC236}">
              <a16:creationId xmlns:a16="http://schemas.microsoft.com/office/drawing/2014/main" id="{07769E77-D938-A44F-B7FF-7AB1C143F95F}"/>
            </a:ext>
          </a:extLst>
        </xdr:cNvPr>
        <xdr:cNvCxnSpPr/>
      </xdr:nvCxnSpPr>
      <xdr:spPr>
        <a:xfrm>
          <a:off x="13522105854" y="43040355"/>
          <a:ext cx="1568311" cy="59977"/>
        </a:xfrm>
        <a:prstGeom prst="straightConnector1">
          <a:avLst/>
        </a:prstGeom>
        <a:ln>
          <a:prstDash val="sysDash"/>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4</xdr:col>
      <xdr:colOff>5594</xdr:colOff>
      <xdr:row>259</xdr:row>
      <xdr:rowOff>139868</xdr:rowOff>
    </xdr:from>
    <xdr:to>
      <xdr:col>4</xdr:col>
      <xdr:colOff>772071</xdr:colOff>
      <xdr:row>259</xdr:row>
      <xdr:rowOff>151057</xdr:rowOff>
    </xdr:to>
    <xdr:cxnSp macro="">
      <xdr:nvCxnSpPr>
        <xdr:cNvPr id="16" name="Straight Arrow Connector 15">
          <a:extLst>
            <a:ext uri="{FF2B5EF4-FFF2-40B4-BE49-F238E27FC236}">
              <a16:creationId xmlns:a16="http://schemas.microsoft.com/office/drawing/2014/main" id="{993B64E9-3678-2B46-8445-3842DEDF77EC}"/>
            </a:ext>
          </a:extLst>
        </xdr:cNvPr>
        <xdr:cNvCxnSpPr/>
      </xdr:nvCxnSpPr>
      <xdr:spPr>
        <a:xfrm flipH="1">
          <a:off x="13520917929" y="43777068"/>
          <a:ext cx="766477" cy="1118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5</xdr:col>
      <xdr:colOff>103950</xdr:colOff>
      <xdr:row>262</xdr:row>
      <xdr:rowOff>110780</xdr:rowOff>
    </xdr:from>
    <xdr:to>
      <xdr:col>7</xdr:col>
      <xdr:colOff>647812</xdr:colOff>
      <xdr:row>273</xdr:row>
      <xdr:rowOff>19796</xdr:rowOff>
    </xdr:to>
    <xdr:pic>
      <xdr:nvPicPr>
        <xdr:cNvPr id="17" name="Picture 16">
          <a:extLst>
            <a:ext uri="{FF2B5EF4-FFF2-40B4-BE49-F238E27FC236}">
              <a16:creationId xmlns:a16="http://schemas.microsoft.com/office/drawing/2014/main" id="{310AEC0F-441A-284E-B73C-D35F2D28F8F9}"/>
            </a:ext>
          </a:extLst>
        </xdr:cNvPr>
        <xdr:cNvPicPr>
          <a:picLocks noChangeAspect="1"/>
        </xdr:cNvPicPr>
      </xdr:nvPicPr>
      <xdr:blipFill>
        <a:blip xmlns:r="http://schemas.openxmlformats.org/officeDocument/2006/relationships" r:embed="rId1"/>
        <a:stretch>
          <a:fillRect/>
        </a:stretch>
      </xdr:blipFill>
      <xdr:spPr>
        <a:xfrm>
          <a:off x="13544471654" y="53586367"/>
          <a:ext cx="2198026" cy="2173322"/>
        </a:xfrm>
        <a:prstGeom prst="rect">
          <a:avLst/>
        </a:prstGeom>
      </xdr:spPr>
    </xdr:pic>
    <xdr:clientData/>
  </xdr:twoCellAnchor>
  <xdr:twoCellAnchor>
    <xdr:from>
      <xdr:col>1</xdr:col>
      <xdr:colOff>799964</xdr:colOff>
      <xdr:row>372</xdr:row>
      <xdr:rowOff>148422</xdr:rowOff>
    </xdr:from>
    <xdr:to>
      <xdr:col>3</xdr:col>
      <xdr:colOff>308054</xdr:colOff>
      <xdr:row>376</xdr:row>
      <xdr:rowOff>49716</xdr:rowOff>
    </xdr:to>
    <xdr:cxnSp macro="">
      <xdr:nvCxnSpPr>
        <xdr:cNvPr id="18" name="Straight Arrow Connector 17">
          <a:extLst>
            <a:ext uri="{FF2B5EF4-FFF2-40B4-BE49-F238E27FC236}">
              <a16:creationId xmlns:a16="http://schemas.microsoft.com/office/drawing/2014/main" id="{22B98581-5BE3-B94F-BA42-56802E1820A6}"/>
            </a:ext>
          </a:extLst>
        </xdr:cNvPr>
        <xdr:cNvCxnSpPr/>
      </xdr:nvCxnSpPr>
      <xdr:spPr>
        <a:xfrm>
          <a:off x="13522207446" y="64080222"/>
          <a:ext cx="1159090" cy="7140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311850</xdr:colOff>
      <xdr:row>372</xdr:row>
      <xdr:rowOff>153666</xdr:rowOff>
    </xdr:from>
    <xdr:to>
      <xdr:col>4</xdr:col>
      <xdr:colOff>537829</xdr:colOff>
      <xdr:row>376</xdr:row>
      <xdr:rowOff>135588</xdr:rowOff>
    </xdr:to>
    <xdr:cxnSp macro="">
      <xdr:nvCxnSpPr>
        <xdr:cNvPr id="19" name="Straight Arrow Connector 18">
          <a:extLst>
            <a:ext uri="{FF2B5EF4-FFF2-40B4-BE49-F238E27FC236}">
              <a16:creationId xmlns:a16="http://schemas.microsoft.com/office/drawing/2014/main" id="{4ABD883C-3390-AE4C-BE2F-115FD0965B04}"/>
            </a:ext>
          </a:extLst>
        </xdr:cNvPr>
        <xdr:cNvCxnSpPr/>
      </xdr:nvCxnSpPr>
      <xdr:spPr>
        <a:xfrm flipH="1">
          <a:off x="13521152171" y="64085466"/>
          <a:ext cx="1051479" cy="7947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194596</xdr:colOff>
      <xdr:row>384</xdr:row>
      <xdr:rowOff>35846</xdr:rowOff>
    </xdr:from>
    <xdr:to>
      <xdr:col>6</xdr:col>
      <xdr:colOff>367780</xdr:colOff>
      <xdr:row>385</xdr:row>
      <xdr:rowOff>138417</xdr:rowOff>
    </xdr:to>
    <xdr:sp macro="" textlink="">
      <xdr:nvSpPr>
        <xdr:cNvPr id="20" name="Down Arrow 19">
          <a:extLst>
            <a:ext uri="{FF2B5EF4-FFF2-40B4-BE49-F238E27FC236}">
              <a16:creationId xmlns:a16="http://schemas.microsoft.com/office/drawing/2014/main" id="{40A4E8FB-8ACC-5D4D-AE9F-22A917EF2018}"/>
            </a:ext>
          </a:extLst>
        </xdr:cNvPr>
        <xdr:cNvSpPr/>
      </xdr:nvSpPr>
      <xdr:spPr>
        <a:xfrm>
          <a:off x="13519671220" y="66431446"/>
          <a:ext cx="173184" cy="305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230443</xdr:colOff>
      <xdr:row>407</xdr:row>
      <xdr:rowOff>204838</xdr:rowOff>
    </xdr:from>
    <xdr:to>
      <xdr:col>6</xdr:col>
      <xdr:colOff>399435</xdr:colOff>
      <xdr:row>408</xdr:row>
      <xdr:rowOff>199717</xdr:rowOff>
    </xdr:to>
    <xdr:sp macro="" textlink="">
      <xdr:nvSpPr>
        <xdr:cNvPr id="21" name="Down Arrow 20">
          <a:extLst>
            <a:ext uri="{FF2B5EF4-FFF2-40B4-BE49-F238E27FC236}">
              <a16:creationId xmlns:a16="http://schemas.microsoft.com/office/drawing/2014/main" id="{460A931C-0A39-2F4F-AE7E-D709251A0182}"/>
            </a:ext>
          </a:extLst>
        </xdr:cNvPr>
        <xdr:cNvSpPr/>
      </xdr:nvSpPr>
      <xdr:spPr>
        <a:xfrm>
          <a:off x="13519639565" y="68632438"/>
          <a:ext cx="168992" cy="2107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230443</xdr:colOff>
      <xdr:row>442</xdr:row>
      <xdr:rowOff>204838</xdr:rowOff>
    </xdr:from>
    <xdr:to>
      <xdr:col>6</xdr:col>
      <xdr:colOff>399435</xdr:colOff>
      <xdr:row>443</xdr:row>
      <xdr:rowOff>199717</xdr:rowOff>
    </xdr:to>
    <xdr:sp macro="" textlink="">
      <xdr:nvSpPr>
        <xdr:cNvPr id="22" name="Down Arrow 21">
          <a:extLst>
            <a:ext uri="{FF2B5EF4-FFF2-40B4-BE49-F238E27FC236}">
              <a16:creationId xmlns:a16="http://schemas.microsoft.com/office/drawing/2014/main" id="{B2C39BDC-67A2-094E-A9F5-9CEE1DE5292E}"/>
            </a:ext>
          </a:extLst>
        </xdr:cNvPr>
        <xdr:cNvSpPr/>
      </xdr:nvSpPr>
      <xdr:spPr>
        <a:xfrm>
          <a:off x="13519639565" y="72315438"/>
          <a:ext cx="168992" cy="2107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465964</xdr:colOff>
      <xdr:row>381</xdr:row>
      <xdr:rowOff>158866</xdr:rowOff>
    </xdr:from>
    <xdr:to>
      <xdr:col>8</xdr:col>
      <xdr:colOff>639148</xdr:colOff>
      <xdr:row>383</xdr:row>
      <xdr:rowOff>44343</xdr:rowOff>
    </xdr:to>
    <xdr:sp macro="" textlink="">
      <xdr:nvSpPr>
        <xdr:cNvPr id="23" name="Down Arrow 22">
          <a:extLst>
            <a:ext uri="{FF2B5EF4-FFF2-40B4-BE49-F238E27FC236}">
              <a16:creationId xmlns:a16="http://schemas.microsoft.com/office/drawing/2014/main" id="{477B143C-F3FF-745E-8AD7-995F8E7E7728}"/>
            </a:ext>
          </a:extLst>
        </xdr:cNvPr>
        <xdr:cNvSpPr/>
      </xdr:nvSpPr>
      <xdr:spPr>
        <a:xfrm rot="10800000">
          <a:off x="13508861023" y="72132769"/>
          <a:ext cx="173184" cy="30519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784253</xdr:colOff>
      <xdr:row>405</xdr:row>
      <xdr:rowOff>161199</xdr:rowOff>
    </xdr:from>
    <xdr:to>
      <xdr:col>9</xdr:col>
      <xdr:colOff>171269</xdr:colOff>
      <xdr:row>406</xdr:row>
      <xdr:rowOff>127570</xdr:rowOff>
    </xdr:to>
    <xdr:sp macro="" textlink="">
      <xdr:nvSpPr>
        <xdr:cNvPr id="24" name="Down Arrow 23">
          <a:extLst>
            <a:ext uri="{FF2B5EF4-FFF2-40B4-BE49-F238E27FC236}">
              <a16:creationId xmlns:a16="http://schemas.microsoft.com/office/drawing/2014/main" id="{817627C9-7DCC-EB6C-29F7-A7EF9AFC348D}"/>
            </a:ext>
          </a:extLst>
        </xdr:cNvPr>
        <xdr:cNvSpPr/>
      </xdr:nvSpPr>
      <xdr:spPr>
        <a:xfrm rot="2728345">
          <a:off x="13508525436" y="74356916"/>
          <a:ext cx="168992" cy="21197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563321</xdr:colOff>
      <xdr:row>440</xdr:row>
      <xdr:rowOff>179511</xdr:rowOff>
    </xdr:from>
    <xdr:to>
      <xdr:col>8</xdr:col>
      <xdr:colOff>732313</xdr:colOff>
      <xdr:row>441</xdr:row>
      <xdr:rowOff>188862</xdr:rowOff>
    </xdr:to>
    <xdr:sp macro="" textlink="">
      <xdr:nvSpPr>
        <xdr:cNvPr id="25" name="Down Arrow 24">
          <a:extLst>
            <a:ext uri="{FF2B5EF4-FFF2-40B4-BE49-F238E27FC236}">
              <a16:creationId xmlns:a16="http://schemas.microsoft.com/office/drawing/2014/main" id="{20986E78-E68D-8E21-7F95-51131D6E2DD5}"/>
            </a:ext>
          </a:extLst>
        </xdr:cNvPr>
        <xdr:cNvSpPr/>
      </xdr:nvSpPr>
      <xdr:spPr>
        <a:xfrm>
          <a:off x="13508767858" y="78709653"/>
          <a:ext cx="168992" cy="21197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654050</xdr:colOff>
      <xdr:row>3</xdr:row>
      <xdr:rowOff>25399</xdr:rowOff>
    </xdr:from>
    <xdr:to>
      <xdr:col>5</xdr:col>
      <xdr:colOff>22225</xdr:colOff>
      <xdr:row>9</xdr:row>
      <xdr:rowOff>28574</xdr:rowOff>
    </xdr:to>
    <xdr:sp macro="" textlink="">
      <xdr:nvSpPr>
        <xdr:cNvPr id="26" name="Right Brace 25">
          <a:extLst>
            <a:ext uri="{FF2B5EF4-FFF2-40B4-BE49-F238E27FC236}">
              <a16:creationId xmlns:a16="http://schemas.microsoft.com/office/drawing/2014/main" id="{4A5965BB-B2A8-001E-B079-3506820977DB}"/>
            </a:ext>
          </a:extLst>
        </xdr:cNvPr>
        <xdr:cNvSpPr/>
      </xdr:nvSpPr>
      <xdr:spPr>
        <a:xfrm>
          <a:off x="13520842275" y="634999"/>
          <a:ext cx="193675" cy="1222375"/>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7</xdr:col>
      <xdr:colOff>818044</xdr:colOff>
      <xdr:row>263</xdr:row>
      <xdr:rowOff>117508</xdr:rowOff>
    </xdr:from>
    <xdr:to>
      <xdr:col>8</xdr:col>
      <xdr:colOff>696050</xdr:colOff>
      <xdr:row>266</xdr:row>
      <xdr:rowOff>48630</xdr:rowOff>
    </xdr:to>
    <xdr:pic>
      <xdr:nvPicPr>
        <xdr:cNvPr id="28" name="Picture 27">
          <a:extLst>
            <a:ext uri="{FF2B5EF4-FFF2-40B4-BE49-F238E27FC236}">
              <a16:creationId xmlns:a16="http://schemas.microsoft.com/office/drawing/2014/main" id="{08178613-AA8D-9EE5-5B27-036492EAE1C8}"/>
            </a:ext>
          </a:extLst>
        </xdr:cNvPr>
        <xdr:cNvPicPr>
          <a:picLocks noChangeAspect="1"/>
        </xdr:cNvPicPr>
      </xdr:nvPicPr>
      <xdr:blipFill>
        <a:blip xmlns:r="http://schemas.openxmlformats.org/officeDocument/2006/relationships" r:embed="rId2"/>
        <a:stretch>
          <a:fillRect/>
        </a:stretch>
      </xdr:blipFill>
      <xdr:spPr>
        <a:xfrm>
          <a:off x="13543596334" y="53796476"/>
          <a:ext cx="705088" cy="554823"/>
        </a:xfrm>
        <a:prstGeom prst="rect">
          <a:avLst/>
        </a:prstGeom>
      </xdr:spPr>
    </xdr:pic>
    <xdr:clientData/>
  </xdr:twoCellAnchor>
  <xdr:twoCellAnchor>
    <xdr:from>
      <xdr:col>9</xdr:col>
      <xdr:colOff>0</xdr:colOff>
      <xdr:row>260</xdr:row>
      <xdr:rowOff>13558</xdr:rowOff>
    </xdr:from>
    <xdr:to>
      <xdr:col>11</xdr:col>
      <xdr:colOff>451958</xdr:colOff>
      <xdr:row>265</xdr:row>
      <xdr:rowOff>207900</xdr:rowOff>
    </xdr:to>
    <xdr:sp macro="" textlink="">
      <xdr:nvSpPr>
        <xdr:cNvPr id="30" name="Rounded Rectangular Callout 29">
          <a:extLst>
            <a:ext uri="{FF2B5EF4-FFF2-40B4-BE49-F238E27FC236}">
              <a16:creationId xmlns:a16="http://schemas.microsoft.com/office/drawing/2014/main" id="{63D46743-315F-6636-EF82-99807D9B4CEF}"/>
            </a:ext>
          </a:extLst>
        </xdr:cNvPr>
        <xdr:cNvSpPr/>
      </xdr:nvSpPr>
      <xdr:spPr>
        <a:xfrm>
          <a:off x="13541359181" y="53082384"/>
          <a:ext cx="2106121" cy="1211246"/>
        </a:xfrm>
        <a:prstGeom prst="wedgeRoundRectCallout">
          <a:avLst>
            <a:gd name="adj1" fmla="val 60497"/>
            <a:gd name="adj2" fmla="val 3080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כאשר במבנה קיימים רכיבים</a:t>
          </a:r>
          <a:r>
            <a:rPr lang="he-IL" sz="1100" baseline="0"/>
            <a:t> שאינם ניתנים להפרדה פיזית, אך מופחתים על פני פרק זמן שונה, נפריד אותם רק לצורך חישוב הוצאות הפחת, אבל כלל הרכיבים יוצגו כמבנה בדיווח</a:t>
          </a:r>
          <a:endParaRPr lang="en-US" sz="1100"/>
        </a:p>
      </xdr:txBody>
    </xdr:sp>
    <xdr:clientData/>
  </xdr:twoCellAnchor>
  <xdr:twoCellAnchor>
    <xdr:from>
      <xdr:col>8</xdr:col>
      <xdr:colOff>790926</xdr:colOff>
      <xdr:row>266</xdr:row>
      <xdr:rowOff>108469</xdr:rowOff>
    </xdr:from>
    <xdr:to>
      <xdr:col>11</xdr:col>
      <xdr:colOff>415802</xdr:colOff>
      <xdr:row>273</xdr:row>
      <xdr:rowOff>36156</xdr:rowOff>
    </xdr:to>
    <xdr:sp macro="" textlink="">
      <xdr:nvSpPr>
        <xdr:cNvPr id="31" name="Rounded Rectangular Callout 30">
          <a:extLst>
            <a:ext uri="{FF2B5EF4-FFF2-40B4-BE49-F238E27FC236}">
              <a16:creationId xmlns:a16="http://schemas.microsoft.com/office/drawing/2014/main" id="{2E4ED812-8B8B-732B-B34A-22CBF21F97AB}"/>
            </a:ext>
          </a:extLst>
        </xdr:cNvPr>
        <xdr:cNvSpPr/>
      </xdr:nvSpPr>
      <xdr:spPr>
        <a:xfrm>
          <a:off x="13541395337" y="54411138"/>
          <a:ext cx="2106121" cy="1364911"/>
        </a:xfrm>
        <a:prstGeom prst="wedgeRoundRectCallout">
          <a:avLst>
            <a:gd name="adj1" fmla="val 59639"/>
            <a:gd name="adj2" fmla="val -5725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לעומת זאת: אם מבנה כולל רכיבים הניתנים להפרדה פיזית ברורה, כגון מחשבים שנמצאים במבנה, ריהוט שנמצא במבנה וכיוצא בזה - מעבר להפחתתם</a:t>
          </a:r>
          <a:r>
            <a:rPr lang="he-IL" sz="1100" baseline="0"/>
            <a:t> בנפרד, כלל לא נתייחס אליהם כחלק מהמבנה.</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7</xdr:col>
      <xdr:colOff>268062</xdr:colOff>
      <xdr:row>90</xdr:row>
      <xdr:rowOff>13183</xdr:rowOff>
    </xdr:from>
    <xdr:to>
      <xdr:col>7</xdr:col>
      <xdr:colOff>426263</xdr:colOff>
      <xdr:row>91</xdr:row>
      <xdr:rowOff>145017</xdr:rowOff>
    </xdr:to>
    <xdr:sp macro="" textlink="">
      <xdr:nvSpPr>
        <xdr:cNvPr id="3" name="Down Arrow 2">
          <a:extLst>
            <a:ext uri="{FF2B5EF4-FFF2-40B4-BE49-F238E27FC236}">
              <a16:creationId xmlns:a16="http://schemas.microsoft.com/office/drawing/2014/main" id="{9AE29CC2-FB11-DAF1-8EC5-490FBD347FFB}"/>
            </a:ext>
          </a:extLst>
        </xdr:cNvPr>
        <xdr:cNvSpPr/>
      </xdr:nvSpPr>
      <xdr:spPr>
        <a:xfrm>
          <a:off x="13530408616" y="11535467"/>
          <a:ext cx="158201" cy="33397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681142</xdr:colOff>
      <xdr:row>88</xdr:row>
      <xdr:rowOff>83495</xdr:rowOff>
    </xdr:from>
    <xdr:to>
      <xdr:col>8</xdr:col>
      <xdr:colOff>13184</xdr:colOff>
      <xdr:row>90</xdr:row>
      <xdr:rowOff>4394</xdr:rowOff>
    </xdr:to>
    <xdr:sp macro="" textlink="">
      <xdr:nvSpPr>
        <xdr:cNvPr id="4" name="Rectangle 3">
          <a:extLst>
            <a:ext uri="{FF2B5EF4-FFF2-40B4-BE49-F238E27FC236}">
              <a16:creationId xmlns:a16="http://schemas.microsoft.com/office/drawing/2014/main" id="{1A58D549-DDF6-E683-FCD3-80AA6DB62E43}"/>
            </a:ext>
          </a:extLst>
        </xdr:cNvPr>
        <xdr:cNvSpPr/>
      </xdr:nvSpPr>
      <xdr:spPr>
        <a:xfrm>
          <a:off x="13529995536" y="11201488"/>
          <a:ext cx="984360" cy="32519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חברת גוזלי</a:t>
          </a:r>
          <a:endParaRPr lang="en-US" sz="1100"/>
        </a:p>
      </xdr:txBody>
    </xdr:sp>
    <xdr:clientData/>
  </xdr:twoCellAnchor>
  <xdr:oneCellAnchor>
    <xdr:from>
      <xdr:col>6</xdr:col>
      <xdr:colOff>448234</xdr:colOff>
      <xdr:row>90</xdr:row>
      <xdr:rowOff>34980</xdr:rowOff>
    </xdr:from>
    <xdr:ext cx="838078"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8F49F90-C996-4DD3-1FBC-5E4C5748D06E}"/>
                </a:ext>
              </a:extLst>
            </xdr:cNvPr>
            <xdr:cNvSpPr txBox="1"/>
          </xdr:nvSpPr>
          <xdr:spPr>
            <a:xfrm>
              <a:off x="13530374726" y="11557264"/>
              <a:ext cx="8380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m:t>
                    </m:r>
                  </m:oMath>
                </m:oMathPara>
              </a14:m>
              <a:endParaRPr lang="en-US" sz="1100"/>
            </a:p>
          </xdr:txBody>
        </xdr:sp>
      </mc:Choice>
      <mc:Fallback xmlns="">
        <xdr:sp macro="" textlink="">
          <xdr:nvSpPr>
            <xdr:cNvPr id="5" name="TextBox 4">
              <a:extLst>
                <a:ext uri="{FF2B5EF4-FFF2-40B4-BE49-F238E27FC236}">
                  <a16:creationId xmlns:a16="http://schemas.microsoft.com/office/drawing/2014/main" id="{78F49F90-C996-4DD3-1FBC-5E4C5748D06E}"/>
                </a:ext>
              </a:extLst>
            </xdr:cNvPr>
            <xdr:cNvSpPr txBox="1"/>
          </xdr:nvSpPr>
          <xdr:spPr>
            <a:xfrm>
              <a:off x="13530374726" y="11557264"/>
              <a:ext cx="83807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a:t>
              </a:r>
              <a:endParaRPr lang="en-US" sz="1100"/>
            </a:p>
          </xdr:txBody>
        </xdr:sp>
      </mc:Fallback>
    </mc:AlternateContent>
    <xdr:clientData/>
  </xdr:oneCellAnchor>
  <xdr:twoCellAnchor>
    <xdr:from>
      <xdr:col>6</xdr:col>
      <xdr:colOff>667959</xdr:colOff>
      <xdr:row>91</xdr:row>
      <xdr:rowOff>136228</xdr:rowOff>
    </xdr:from>
    <xdr:to>
      <xdr:col>8</xdr:col>
      <xdr:colOff>1</xdr:colOff>
      <xdr:row>93</xdr:row>
      <xdr:rowOff>57127</xdr:rowOff>
    </xdr:to>
    <xdr:sp macro="" textlink="">
      <xdr:nvSpPr>
        <xdr:cNvPr id="6" name="Rectangle 5">
          <a:extLst>
            <a:ext uri="{FF2B5EF4-FFF2-40B4-BE49-F238E27FC236}">
              <a16:creationId xmlns:a16="http://schemas.microsoft.com/office/drawing/2014/main" id="{A7204A71-52A2-F22A-83DA-721BBF453A62}"/>
            </a:ext>
          </a:extLst>
        </xdr:cNvPr>
        <xdr:cNvSpPr/>
      </xdr:nvSpPr>
      <xdr:spPr>
        <a:xfrm>
          <a:off x="13530008719" y="11860657"/>
          <a:ext cx="984360" cy="32519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חברת ביצי</a:t>
          </a:r>
          <a:endParaRPr lang="en-US" sz="1100"/>
        </a:p>
      </xdr:txBody>
    </xdr:sp>
    <xdr:clientData/>
  </xdr:twoCellAnchor>
  <xdr:twoCellAnchor editAs="oneCell">
    <xdr:from>
      <xdr:col>6</xdr:col>
      <xdr:colOff>262758</xdr:colOff>
      <xdr:row>52</xdr:row>
      <xdr:rowOff>23831</xdr:rowOff>
    </xdr:from>
    <xdr:to>
      <xdr:col>7</xdr:col>
      <xdr:colOff>364157</xdr:colOff>
      <xdr:row>56</xdr:row>
      <xdr:rowOff>137338</xdr:rowOff>
    </xdr:to>
    <xdr:pic>
      <xdr:nvPicPr>
        <xdr:cNvPr id="2" name="Picture 1" descr="Laugh your Assets Off: 200+ Investment Puns to Entertain the Financial Geek  in You">
          <a:extLst>
            <a:ext uri="{FF2B5EF4-FFF2-40B4-BE49-F238E27FC236}">
              <a16:creationId xmlns:a16="http://schemas.microsoft.com/office/drawing/2014/main" id="{9DA6CCAC-A248-F059-65C4-9905344E803B}"/>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516916215" y="6087491"/>
          <a:ext cx="926730" cy="921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283095</xdr:colOff>
      <xdr:row>170</xdr:row>
      <xdr:rowOff>26968</xdr:rowOff>
    </xdr:from>
    <xdr:to>
      <xdr:col>11</xdr:col>
      <xdr:colOff>428181</xdr:colOff>
      <xdr:row>174</xdr:row>
      <xdr:rowOff>185703</xdr:rowOff>
    </xdr:to>
    <xdr:pic>
      <xdr:nvPicPr>
        <xdr:cNvPr id="7" name="Picture 6"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B8B4AB95-D665-77AE-BB1F-F2DDC6C7777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9527855" y="2481359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23590</xdr:colOff>
      <xdr:row>166</xdr:row>
      <xdr:rowOff>123699</xdr:rowOff>
    </xdr:from>
    <xdr:to>
      <xdr:col>11</xdr:col>
      <xdr:colOff>656230</xdr:colOff>
      <xdr:row>170</xdr:row>
      <xdr:rowOff>185663</xdr:rowOff>
    </xdr:to>
    <xdr:pic>
      <xdr:nvPicPr>
        <xdr:cNvPr id="8" name="Picture 7" descr="84+ Thousand Cartoon Soldiers Royalty-Free Images, Stock Photos &amp; Pictures  | Shutterstock">
          <a:extLst>
            <a:ext uri="{FF2B5EF4-FFF2-40B4-BE49-F238E27FC236}">
              <a16:creationId xmlns:a16="http://schemas.microsoft.com/office/drawing/2014/main" id="{ACF708DB-4F46-CEB7-4C66-F702378274B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19299806" y="24092492"/>
          <a:ext cx="1458338" cy="8797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428182</xdr:colOff>
      <xdr:row>170</xdr:row>
      <xdr:rowOff>26968</xdr:rowOff>
    </xdr:from>
    <xdr:to>
      <xdr:col>12</xdr:col>
      <xdr:colOff>573269</xdr:colOff>
      <xdr:row>174</xdr:row>
      <xdr:rowOff>185703</xdr:rowOff>
    </xdr:to>
    <xdr:pic>
      <xdr:nvPicPr>
        <xdr:cNvPr id="9" name="Picture 8"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B279D3F3-1808-564F-9EC3-A3CCA374BF3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557071" y="2481359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86108</xdr:colOff>
      <xdr:row>169</xdr:row>
      <xdr:rowOff>176380</xdr:rowOff>
    </xdr:from>
    <xdr:to>
      <xdr:col>10</xdr:col>
      <xdr:colOff>231197</xdr:colOff>
      <xdr:row>174</xdr:row>
      <xdr:rowOff>130656</xdr:rowOff>
    </xdr:to>
    <xdr:pic>
      <xdr:nvPicPr>
        <xdr:cNvPr id="10" name="Picture 9"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5F5258A2-63A2-FC38-A2CE-3D6FADE797B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550538" y="24758547"/>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683756</xdr:colOff>
      <xdr:row>165</xdr:row>
      <xdr:rowOff>101674</xdr:rowOff>
    </xdr:from>
    <xdr:to>
      <xdr:col>9</xdr:col>
      <xdr:colOff>703231</xdr:colOff>
      <xdr:row>170</xdr:row>
      <xdr:rowOff>55951</xdr:rowOff>
    </xdr:to>
    <xdr:pic>
      <xdr:nvPicPr>
        <xdr:cNvPr id="11" name="Picture 10"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ECAC8830-CB89-60F2-9494-2FA4CE3B6A72}"/>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778587" y="23866008"/>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754530</xdr:colOff>
      <xdr:row>160</xdr:row>
      <xdr:rowOff>133129</xdr:rowOff>
    </xdr:from>
    <xdr:to>
      <xdr:col>9</xdr:col>
      <xdr:colOff>774005</xdr:colOff>
      <xdr:row>165</xdr:row>
      <xdr:rowOff>87405</xdr:rowOff>
    </xdr:to>
    <xdr:pic>
      <xdr:nvPicPr>
        <xdr:cNvPr id="12" name="Picture 11"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A9F65730-735F-802E-9ACD-AFD2F596B16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20707813" y="22875172"/>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62518</xdr:colOff>
      <xdr:row>161</xdr:row>
      <xdr:rowOff>168515</xdr:rowOff>
    </xdr:from>
    <xdr:to>
      <xdr:col>11</xdr:col>
      <xdr:colOff>207604</xdr:colOff>
      <xdr:row>166</xdr:row>
      <xdr:rowOff>122792</xdr:rowOff>
    </xdr:to>
    <xdr:pic>
      <xdr:nvPicPr>
        <xdr:cNvPr id="13" name="Picture 12"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D976F01C-C033-5C60-29B2-4CE1CBBA186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9748432" y="23115017"/>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215861</xdr:colOff>
      <xdr:row>162</xdr:row>
      <xdr:rowOff>58423</xdr:rowOff>
    </xdr:from>
    <xdr:to>
      <xdr:col>12</xdr:col>
      <xdr:colOff>360948</xdr:colOff>
      <xdr:row>167</xdr:row>
      <xdr:rowOff>12700</xdr:rowOff>
    </xdr:to>
    <xdr:pic>
      <xdr:nvPicPr>
        <xdr:cNvPr id="14" name="Picture 13"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050813E2-8404-1D53-17FF-7CA3CA54F5F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769392" y="23209383"/>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691619</xdr:colOff>
      <xdr:row>166</xdr:row>
      <xdr:rowOff>85946</xdr:rowOff>
    </xdr:from>
    <xdr:to>
      <xdr:col>13</xdr:col>
      <xdr:colOff>11011</xdr:colOff>
      <xdr:row>171</xdr:row>
      <xdr:rowOff>40221</xdr:rowOff>
    </xdr:to>
    <xdr:pic>
      <xdr:nvPicPr>
        <xdr:cNvPr id="15" name="Picture 14"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70A74EAE-5D89-B27F-A053-AA6FFD5281C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518293634" y="24054739"/>
          <a:ext cx="970784" cy="9765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739195</xdr:colOff>
      <xdr:row>191</xdr:row>
      <xdr:rowOff>102229</xdr:rowOff>
    </xdr:from>
    <xdr:to>
      <xdr:col>2</xdr:col>
      <xdr:colOff>145481</xdr:colOff>
      <xdr:row>193</xdr:row>
      <xdr:rowOff>188730</xdr:rowOff>
    </xdr:to>
    <xdr:sp macro="" textlink="">
      <xdr:nvSpPr>
        <xdr:cNvPr id="16" name="Down Arrow 15">
          <a:extLst>
            <a:ext uri="{FF2B5EF4-FFF2-40B4-BE49-F238E27FC236}">
              <a16:creationId xmlns:a16="http://schemas.microsoft.com/office/drawing/2014/main" id="{77F8656D-92D1-A113-9678-44BD51D824F9}"/>
            </a:ext>
          </a:extLst>
        </xdr:cNvPr>
        <xdr:cNvSpPr/>
      </xdr:nvSpPr>
      <xdr:spPr>
        <a:xfrm>
          <a:off x="13526416129" y="29308297"/>
          <a:ext cx="231982" cy="49541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294892</xdr:colOff>
      <xdr:row>191</xdr:row>
      <xdr:rowOff>184798</xdr:rowOff>
    </xdr:from>
    <xdr:to>
      <xdr:col>6</xdr:col>
      <xdr:colOff>526874</xdr:colOff>
      <xdr:row>194</xdr:row>
      <xdr:rowOff>66841</xdr:rowOff>
    </xdr:to>
    <xdr:sp macro="" textlink="">
      <xdr:nvSpPr>
        <xdr:cNvPr id="17" name="Down Arrow 16">
          <a:extLst>
            <a:ext uri="{FF2B5EF4-FFF2-40B4-BE49-F238E27FC236}">
              <a16:creationId xmlns:a16="http://schemas.microsoft.com/office/drawing/2014/main" id="{AEC28339-7954-1CAC-1652-7C0FCB16A76E}"/>
            </a:ext>
          </a:extLst>
        </xdr:cNvPr>
        <xdr:cNvSpPr/>
      </xdr:nvSpPr>
      <xdr:spPr>
        <a:xfrm>
          <a:off x="13523557646" y="29390866"/>
          <a:ext cx="231982" cy="49541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3</xdr:col>
      <xdr:colOff>626308</xdr:colOff>
      <xdr:row>213</xdr:row>
      <xdr:rowOff>11795</xdr:rowOff>
    </xdr:from>
    <xdr:to>
      <xdr:col>5</xdr:col>
      <xdr:colOff>992</xdr:colOff>
      <xdr:row>215</xdr:row>
      <xdr:rowOff>182359</xdr:rowOff>
    </xdr:to>
    <xdr:pic>
      <xdr:nvPicPr>
        <xdr:cNvPr id="18" name="Picture 17" descr="Unpeeled: the amazing inside story of Britain's favourite fruit">
          <a:extLst>
            <a:ext uri="{FF2B5EF4-FFF2-40B4-BE49-F238E27FC236}">
              <a16:creationId xmlns:a16="http://schemas.microsoft.com/office/drawing/2014/main" id="{191BA3EA-2DBE-83AD-D8A0-C0CF5DFFF3AB}"/>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524079802" y="33715944"/>
          <a:ext cx="1029803" cy="5794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372241</xdr:colOff>
      <xdr:row>1</xdr:row>
      <xdr:rowOff>175171</xdr:rowOff>
    </xdr:from>
    <xdr:to>
      <xdr:col>12</xdr:col>
      <xdr:colOff>235965</xdr:colOff>
      <xdr:row>9</xdr:row>
      <xdr:rowOff>164223</xdr:rowOff>
    </xdr:to>
    <xdr:pic>
      <xdr:nvPicPr>
        <xdr:cNvPr id="22" name="Picture 21">
          <a:extLst>
            <a:ext uri="{FF2B5EF4-FFF2-40B4-BE49-F238E27FC236}">
              <a16:creationId xmlns:a16="http://schemas.microsoft.com/office/drawing/2014/main" id="{924CE7EA-0DC1-9AD8-4BA3-28F213C05A8F}"/>
            </a:ext>
          </a:extLst>
        </xdr:cNvPr>
        <xdr:cNvPicPr>
          <a:picLocks noChangeAspect="1"/>
        </xdr:cNvPicPr>
      </xdr:nvPicPr>
      <xdr:blipFill>
        <a:blip xmlns:r="http://schemas.openxmlformats.org/officeDocument/2006/relationships" r:embed="rId5"/>
        <a:stretch>
          <a:fillRect/>
        </a:stretch>
      </xdr:blipFill>
      <xdr:spPr>
        <a:xfrm>
          <a:off x="13533064682" y="465300"/>
          <a:ext cx="2343508" cy="1609397"/>
        </a:xfrm>
        <a:prstGeom prst="rect">
          <a:avLst/>
        </a:prstGeom>
      </xdr:spPr>
    </xdr:pic>
    <xdr:clientData/>
  </xdr:twoCellAnchor>
  <xdr:twoCellAnchor>
    <xdr:from>
      <xdr:col>6</xdr:col>
      <xdr:colOff>60990</xdr:colOff>
      <xdr:row>134</xdr:row>
      <xdr:rowOff>172204</xdr:rowOff>
    </xdr:from>
    <xdr:to>
      <xdr:col>6</xdr:col>
      <xdr:colOff>635001</xdr:colOff>
      <xdr:row>136</xdr:row>
      <xdr:rowOff>82514</xdr:rowOff>
    </xdr:to>
    <xdr:sp macro="" textlink="">
      <xdr:nvSpPr>
        <xdr:cNvPr id="29" name="Left Arrow 28">
          <a:extLst>
            <a:ext uri="{FF2B5EF4-FFF2-40B4-BE49-F238E27FC236}">
              <a16:creationId xmlns:a16="http://schemas.microsoft.com/office/drawing/2014/main" id="{FA06E960-D02E-9C74-D453-48778C53AE28}"/>
            </a:ext>
          </a:extLst>
        </xdr:cNvPr>
        <xdr:cNvSpPr/>
      </xdr:nvSpPr>
      <xdr:spPr>
        <a:xfrm>
          <a:off x="13513951610" y="27767797"/>
          <a:ext cx="574011" cy="31929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437684</xdr:colOff>
      <xdr:row>138</xdr:row>
      <xdr:rowOff>14350</xdr:rowOff>
    </xdr:from>
    <xdr:to>
      <xdr:col>5</xdr:col>
      <xdr:colOff>17938</xdr:colOff>
      <xdr:row>143</xdr:row>
      <xdr:rowOff>57402</xdr:rowOff>
    </xdr:to>
    <xdr:cxnSp macro="">
      <xdr:nvCxnSpPr>
        <xdr:cNvPr id="31" name="Straight Arrow Connector 30">
          <a:extLst>
            <a:ext uri="{FF2B5EF4-FFF2-40B4-BE49-F238E27FC236}">
              <a16:creationId xmlns:a16="http://schemas.microsoft.com/office/drawing/2014/main" id="{970CE102-DC81-F36B-B061-A59B2B6A9636}"/>
            </a:ext>
          </a:extLst>
        </xdr:cNvPr>
        <xdr:cNvCxnSpPr/>
      </xdr:nvCxnSpPr>
      <xdr:spPr>
        <a:xfrm>
          <a:off x="13515393814" y="28449435"/>
          <a:ext cx="1230536" cy="10655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547131</xdr:colOff>
      <xdr:row>488</xdr:row>
      <xdr:rowOff>77474</xdr:rowOff>
    </xdr:from>
    <xdr:to>
      <xdr:col>4</xdr:col>
      <xdr:colOff>523941</xdr:colOff>
      <xdr:row>496</xdr:row>
      <xdr:rowOff>158345</xdr:rowOff>
    </xdr:to>
    <xdr:pic>
      <xdr:nvPicPr>
        <xdr:cNvPr id="2" name="Picture 1">
          <a:extLst>
            <a:ext uri="{FF2B5EF4-FFF2-40B4-BE49-F238E27FC236}">
              <a16:creationId xmlns:a16="http://schemas.microsoft.com/office/drawing/2014/main" id="{BC9C47A8-EDA1-A148-8368-718DCB4BBBC9}"/>
            </a:ext>
          </a:extLst>
        </xdr:cNvPr>
        <xdr:cNvPicPr>
          <a:picLocks noChangeAspect="1"/>
        </xdr:cNvPicPr>
      </xdr:nvPicPr>
      <xdr:blipFill>
        <a:blip xmlns:r="http://schemas.openxmlformats.org/officeDocument/2006/relationships" r:embed="rId1"/>
        <a:stretch>
          <a:fillRect/>
        </a:stretch>
      </xdr:blipFill>
      <xdr:spPr>
        <a:xfrm>
          <a:off x="13497346288" y="100006762"/>
          <a:ext cx="1624901" cy="1709573"/>
        </a:xfrm>
        <a:prstGeom prst="rect">
          <a:avLst/>
        </a:prstGeom>
      </xdr:spPr>
    </xdr:pic>
    <xdr:clientData/>
  </xdr:twoCellAnchor>
  <xdr:twoCellAnchor>
    <xdr:from>
      <xdr:col>2</xdr:col>
      <xdr:colOff>46521</xdr:colOff>
      <xdr:row>704</xdr:row>
      <xdr:rowOff>9304</xdr:rowOff>
    </xdr:from>
    <xdr:to>
      <xdr:col>2</xdr:col>
      <xdr:colOff>446594</xdr:colOff>
      <xdr:row>709</xdr:row>
      <xdr:rowOff>181429</xdr:rowOff>
    </xdr:to>
    <xdr:sp macro="" textlink="">
      <xdr:nvSpPr>
        <xdr:cNvPr id="3" name="Left Brace 2">
          <a:extLst>
            <a:ext uri="{FF2B5EF4-FFF2-40B4-BE49-F238E27FC236}">
              <a16:creationId xmlns:a16="http://schemas.microsoft.com/office/drawing/2014/main" id="{F7800778-D6B4-4F48-A7CD-5B155054EF58}"/>
            </a:ext>
          </a:extLst>
        </xdr:cNvPr>
        <xdr:cNvSpPr/>
      </xdr:nvSpPr>
      <xdr:spPr>
        <a:xfrm>
          <a:off x="13522932506" y="24926704"/>
          <a:ext cx="400073" cy="11881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693150</xdr:colOff>
      <xdr:row>758</xdr:row>
      <xdr:rowOff>153516</xdr:rowOff>
    </xdr:from>
    <xdr:to>
      <xdr:col>2</xdr:col>
      <xdr:colOff>334946</xdr:colOff>
      <xdr:row>761</xdr:row>
      <xdr:rowOff>23260</xdr:rowOff>
    </xdr:to>
    <xdr:sp macro="" textlink="">
      <xdr:nvSpPr>
        <xdr:cNvPr id="4" name="Smiley Face 3">
          <a:extLst>
            <a:ext uri="{FF2B5EF4-FFF2-40B4-BE49-F238E27FC236}">
              <a16:creationId xmlns:a16="http://schemas.microsoft.com/office/drawing/2014/main" id="{C6217FB2-F362-3540-8EAF-F558E1AD8E48}"/>
            </a:ext>
          </a:extLst>
        </xdr:cNvPr>
        <xdr:cNvSpPr/>
      </xdr:nvSpPr>
      <xdr:spPr>
        <a:xfrm>
          <a:off x="13523044154" y="33198916"/>
          <a:ext cx="467296" cy="479344"/>
        </a:xfrm>
        <a:prstGeom prst="smileyFace">
          <a:avLst>
            <a:gd name="adj" fmla="val 155"/>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460551</xdr:colOff>
      <xdr:row>761</xdr:row>
      <xdr:rowOff>60475</xdr:rowOff>
    </xdr:from>
    <xdr:to>
      <xdr:col>2</xdr:col>
      <xdr:colOff>655936</xdr:colOff>
      <xdr:row>765</xdr:row>
      <xdr:rowOff>190732</xdr:rowOff>
    </xdr:to>
    <xdr:sp macro="" textlink="">
      <xdr:nvSpPr>
        <xdr:cNvPr id="5" name="Triangle 4">
          <a:extLst>
            <a:ext uri="{FF2B5EF4-FFF2-40B4-BE49-F238E27FC236}">
              <a16:creationId xmlns:a16="http://schemas.microsoft.com/office/drawing/2014/main" id="{32FA1B1E-0B62-CE48-A302-B67932EC0CA8}"/>
            </a:ext>
          </a:extLst>
        </xdr:cNvPr>
        <xdr:cNvSpPr/>
      </xdr:nvSpPr>
      <xdr:spPr>
        <a:xfrm rot="10800000">
          <a:off x="13522723164" y="33715475"/>
          <a:ext cx="1020885" cy="94305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427986</xdr:colOff>
      <xdr:row>760</xdr:row>
      <xdr:rowOff>69576</xdr:rowOff>
    </xdr:from>
    <xdr:to>
      <xdr:col>3</xdr:col>
      <xdr:colOff>297729</xdr:colOff>
      <xdr:row>762</xdr:row>
      <xdr:rowOff>215</xdr:rowOff>
    </xdr:to>
    <xdr:sp macro="" textlink="">
      <xdr:nvSpPr>
        <xdr:cNvPr id="6" name="Freeform 5">
          <a:extLst>
            <a:ext uri="{FF2B5EF4-FFF2-40B4-BE49-F238E27FC236}">
              <a16:creationId xmlns:a16="http://schemas.microsoft.com/office/drawing/2014/main" id="{4131ADF4-1900-6D4F-89B4-EF28D0B8FCBB}"/>
            </a:ext>
          </a:extLst>
        </xdr:cNvPr>
        <xdr:cNvSpPr/>
      </xdr:nvSpPr>
      <xdr:spPr>
        <a:xfrm>
          <a:off x="13522255871" y="33521376"/>
          <a:ext cx="695243" cy="337039"/>
        </a:xfrm>
        <a:custGeom>
          <a:avLst/>
          <a:gdLst>
            <a:gd name="connsiteX0" fmla="*/ 693150 w 693150"/>
            <a:gd name="connsiteY0" fmla="*/ 330497 h 340016"/>
            <a:gd name="connsiteX1" fmla="*/ 660586 w 693150"/>
            <a:gd name="connsiteY1" fmla="*/ 339801 h 340016"/>
            <a:gd name="connsiteX2" fmla="*/ 539633 w 693150"/>
            <a:gd name="connsiteY2" fmla="*/ 330497 h 340016"/>
            <a:gd name="connsiteX3" fmla="*/ 474505 w 693150"/>
            <a:gd name="connsiteY3" fmla="*/ 321193 h 340016"/>
            <a:gd name="connsiteX4" fmla="*/ 455897 w 693150"/>
            <a:gd name="connsiteY4" fmla="*/ 316541 h 340016"/>
            <a:gd name="connsiteX5" fmla="*/ 441941 w 693150"/>
            <a:gd name="connsiteY5" fmla="*/ 311889 h 340016"/>
            <a:gd name="connsiteX6" fmla="*/ 334945 w 693150"/>
            <a:gd name="connsiteY6" fmla="*/ 297933 h 340016"/>
            <a:gd name="connsiteX7" fmla="*/ 302381 w 693150"/>
            <a:gd name="connsiteY7" fmla="*/ 288629 h 340016"/>
            <a:gd name="connsiteX8" fmla="*/ 283772 w 693150"/>
            <a:gd name="connsiteY8" fmla="*/ 283977 h 340016"/>
            <a:gd name="connsiteX9" fmla="*/ 265164 w 693150"/>
            <a:gd name="connsiteY9" fmla="*/ 274673 h 340016"/>
            <a:gd name="connsiteX10" fmla="*/ 251208 w 693150"/>
            <a:gd name="connsiteY10" fmla="*/ 265369 h 340016"/>
            <a:gd name="connsiteX11" fmla="*/ 237252 w 693150"/>
            <a:gd name="connsiteY11" fmla="*/ 260717 h 340016"/>
            <a:gd name="connsiteX12" fmla="*/ 213992 w 693150"/>
            <a:gd name="connsiteY12" fmla="*/ 232805 h 340016"/>
            <a:gd name="connsiteX13" fmla="*/ 204688 w 693150"/>
            <a:gd name="connsiteY13" fmla="*/ 204893 h 340016"/>
            <a:gd name="connsiteX14" fmla="*/ 200036 w 693150"/>
            <a:gd name="connsiteY14" fmla="*/ 190937 h 340016"/>
            <a:gd name="connsiteX15" fmla="*/ 186080 w 693150"/>
            <a:gd name="connsiteY15" fmla="*/ 176981 h 340016"/>
            <a:gd name="connsiteX16" fmla="*/ 167472 w 693150"/>
            <a:gd name="connsiteY16" fmla="*/ 158373 h 340016"/>
            <a:gd name="connsiteX17" fmla="*/ 153516 w 693150"/>
            <a:gd name="connsiteY17" fmla="*/ 144417 h 340016"/>
            <a:gd name="connsiteX18" fmla="*/ 139560 w 693150"/>
            <a:gd name="connsiteY18" fmla="*/ 135113 h 340016"/>
            <a:gd name="connsiteX19" fmla="*/ 125604 w 693150"/>
            <a:gd name="connsiteY19" fmla="*/ 121157 h 340016"/>
            <a:gd name="connsiteX20" fmla="*/ 111648 w 693150"/>
            <a:gd name="connsiteY20" fmla="*/ 111853 h 340016"/>
            <a:gd name="connsiteX21" fmla="*/ 93040 w 693150"/>
            <a:gd name="connsiteY21" fmla="*/ 97897 h 340016"/>
            <a:gd name="connsiteX22" fmla="*/ 83736 w 693150"/>
            <a:gd name="connsiteY22" fmla="*/ 88592 h 340016"/>
            <a:gd name="connsiteX23" fmla="*/ 51172 w 693150"/>
            <a:gd name="connsiteY23" fmla="*/ 65332 h 340016"/>
            <a:gd name="connsiteX24" fmla="*/ 41868 w 693150"/>
            <a:gd name="connsiteY24" fmla="*/ 51376 h 340016"/>
            <a:gd name="connsiteX25" fmla="*/ 27912 w 693150"/>
            <a:gd name="connsiteY25" fmla="*/ 42072 h 340016"/>
            <a:gd name="connsiteX26" fmla="*/ 23260 w 693150"/>
            <a:gd name="connsiteY26" fmla="*/ 28116 h 340016"/>
            <a:gd name="connsiteX27" fmla="*/ 9304 w 693150"/>
            <a:gd name="connsiteY27" fmla="*/ 14160 h 340016"/>
            <a:gd name="connsiteX28" fmla="*/ 0 w 693150"/>
            <a:gd name="connsiteY28" fmla="*/ 4856 h 34001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693150" h="340016">
              <a:moveTo>
                <a:pt x="693150" y="330497"/>
              </a:moveTo>
              <a:cubicBezTo>
                <a:pt x="682295" y="333598"/>
                <a:pt x="671866" y="339350"/>
                <a:pt x="660586" y="339801"/>
              </a:cubicBezTo>
              <a:cubicBezTo>
                <a:pt x="625857" y="341190"/>
                <a:pt x="577089" y="335605"/>
                <a:pt x="539633" y="330497"/>
              </a:cubicBezTo>
              <a:cubicBezTo>
                <a:pt x="517904" y="327534"/>
                <a:pt x="495780" y="326512"/>
                <a:pt x="474505" y="321193"/>
              </a:cubicBezTo>
              <a:cubicBezTo>
                <a:pt x="468302" y="319642"/>
                <a:pt x="462045" y="318297"/>
                <a:pt x="455897" y="316541"/>
              </a:cubicBezTo>
              <a:cubicBezTo>
                <a:pt x="451182" y="315194"/>
                <a:pt x="446749" y="312851"/>
                <a:pt x="441941" y="311889"/>
              </a:cubicBezTo>
              <a:cubicBezTo>
                <a:pt x="412650" y="306031"/>
                <a:pt x="356350" y="303284"/>
                <a:pt x="334945" y="297933"/>
              </a:cubicBezTo>
              <a:cubicBezTo>
                <a:pt x="276758" y="283386"/>
                <a:pt x="349109" y="301980"/>
                <a:pt x="302381" y="288629"/>
              </a:cubicBezTo>
              <a:cubicBezTo>
                <a:pt x="296233" y="286873"/>
                <a:pt x="289975" y="285528"/>
                <a:pt x="283772" y="283977"/>
              </a:cubicBezTo>
              <a:cubicBezTo>
                <a:pt x="277569" y="280876"/>
                <a:pt x="271185" y="278114"/>
                <a:pt x="265164" y="274673"/>
              </a:cubicBezTo>
              <a:cubicBezTo>
                <a:pt x="260310" y="271899"/>
                <a:pt x="256209" y="267869"/>
                <a:pt x="251208" y="265369"/>
              </a:cubicBezTo>
              <a:cubicBezTo>
                <a:pt x="246822" y="263176"/>
                <a:pt x="241904" y="262268"/>
                <a:pt x="237252" y="260717"/>
              </a:cubicBezTo>
              <a:cubicBezTo>
                <a:pt x="228488" y="251953"/>
                <a:pt x="219173" y="244463"/>
                <a:pt x="213992" y="232805"/>
              </a:cubicBezTo>
              <a:cubicBezTo>
                <a:pt x="210009" y="223843"/>
                <a:pt x="207789" y="214197"/>
                <a:pt x="204688" y="204893"/>
              </a:cubicBezTo>
              <a:cubicBezTo>
                <a:pt x="203137" y="200241"/>
                <a:pt x="203503" y="194404"/>
                <a:pt x="200036" y="190937"/>
              </a:cubicBezTo>
              <a:lnTo>
                <a:pt x="186080" y="176981"/>
              </a:lnTo>
              <a:cubicBezTo>
                <a:pt x="177219" y="150398"/>
                <a:pt x="188738" y="172551"/>
                <a:pt x="167472" y="158373"/>
              </a:cubicBezTo>
              <a:cubicBezTo>
                <a:pt x="161998" y="154724"/>
                <a:pt x="158570" y="148629"/>
                <a:pt x="153516" y="144417"/>
              </a:cubicBezTo>
              <a:cubicBezTo>
                <a:pt x="149221" y="140838"/>
                <a:pt x="143855" y="138692"/>
                <a:pt x="139560" y="135113"/>
              </a:cubicBezTo>
              <a:cubicBezTo>
                <a:pt x="134506" y="130901"/>
                <a:pt x="130658" y="125369"/>
                <a:pt x="125604" y="121157"/>
              </a:cubicBezTo>
              <a:cubicBezTo>
                <a:pt x="121309" y="117578"/>
                <a:pt x="116198" y="115103"/>
                <a:pt x="111648" y="111853"/>
              </a:cubicBezTo>
              <a:cubicBezTo>
                <a:pt x="105339" y="107346"/>
                <a:pt x="98996" y="102861"/>
                <a:pt x="93040" y="97897"/>
              </a:cubicBezTo>
              <a:cubicBezTo>
                <a:pt x="89670" y="95089"/>
                <a:pt x="87106" y="91400"/>
                <a:pt x="83736" y="88592"/>
              </a:cubicBezTo>
              <a:cubicBezTo>
                <a:pt x="72198" y="78977"/>
                <a:pt x="63255" y="73388"/>
                <a:pt x="51172" y="65332"/>
              </a:cubicBezTo>
              <a:cubicBezTo>
                <a:pt x="48071" y="60680"/>
                <a:pt x="45821" y="55329"/>
                <a:pt x="41868" y="51376"/>
              </a:cubicBezTo>
              <a:cubicBezTo>
                <a:pt x="37915" y="47423"/>
                <a:pt x="31405" y="46438"/>
                <a:pt x="27912" y="42072"/>
              </a:cubicBezTo>
              <a:cubicBezTo>
                <a:pt x="24849" y="38243"/>
                <a:pt x="25980" y="32196"/>
                <a:pt x="23260" y="28116"/>
              </a:cubicBezTo>
              <a:cubicBezTo>
                <a:pt x="19611" y="22642"/>
                <a:pt x="13956" y="18812"/>
                <a:pt x="9304" y="14160"/>
              </a:cubicBezTo>
              <a:cubicBezTo>
                <a:pt x="3959" y="-1876"/>
                <a:pt x="8119" y="-3263"/>
                <a:pt x="0" y="485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502418</xdr:colOff>
      <xdr:row>759</xdr:row>
      <xdr:rowOff>88389</xdr:rowOff>
    </xdr:from>
    <xdr:to>
      <xdr:col>3</xdr:col>
      <xdr:colOff>423677</xdr:colOff>
      <xdr:row>761</xdr:row>
      <xdr:rowOff>46520</xdr:rowOff>
    </xdr:to>
    <xdr:sp macro="" textlink="">
      <xdr:nvSpPr>
        <xdr:cNvPr id="7" name="Freeform 6">
          <a:extLst>
            <a:ext uri="{FF2B5EF4-FFF2-40B4-BE49-F238E27FC236}">
              <a16:creationId xmlns:a16="http://schemas.microsoft.com/office/drawing/2014/main" id="{2ABF2858-BD63-0047-A9BC-E7F77E9C4D39}"/>
            </a:ext>
          </a:extLst>
        </xdr:cNvPr>
        <xdr:cNvSpPr/>
      </xdr:nvSpPr>
      <xdr:spPr>
        <a:xfrm>
          <a:off x="13522129923" y="33336989"/>
          <a:ext cx="746759" cy="364531"/>
        </a:xfrm>
        <a:custGeom>
          <a:avLst/>
          <a:gdLst>
            <a:gd name="connsiteX0" fmla="*/ 740014 w 744666"/>
            <a:gd name="connsiteY0" fmla="*/ 367509 h 367509"/>
            <a:gd name="connsiteX1" fmla="*/ 744666 w 744666"/>
            <a:gd name="connsiteY1" fmla="*/ 334945 h 367509"/>
            <a:gd name="connsiteX2" fmla="*/ 730710 w 744666"/>
            <a:gd name="connsiteY2" fmla="*/ 274468 h 367509"/>
            <a:gd name="connsiteX3" fmla="*/ 721405 w 744666"/>
            <a:gd name="connsiteY3" fmla="*/ 265164 h 367509"/>
            <a:gd name="connsiteX4" fmla="*/ 712101 w 744666"/>
            <a:gd name="connsiteY4" fmla="*/ 246556 h 367509"/>
            <a:gd name="connsiteX5" fmla="*/ 688841 w 744666"/>
            <a:gd name="connsiteY5" fmla="*/ 204688 h 367509"/>
            <a:gd name="connsiteX6" fmla="*/ 674885 w 744666"/>
            <a:gd name="connsiteY6" fmla="*/ 190732 h 367509"/>
            <a:gd name="connsiteX7" fmla="*/ 656277 w 744666"/>
            <a:gd name="connsiteY7" fmla="*/ 186080 h 367509"/>
            <a:gd name="connsiteX8" fmla="*/ 605105 w 744666"/>
            <a:gd name="connsiteY8" fmla="*/ 200036 h 367509"/>
            <a:gd name="connsiteX9" fmla="*/ 577193 w 744666"/>
            <a:gd name="connsiteY9" fmla="*/ 227948 h 367509"/>
            <a:gd name="connsiteX10" fmla="*/ 567889 w 744666"/>
            <a:gd name="connsiteY10" fmla="*/ 255860 h 367509"/>
            <a:gd name="connsiteX11" fmla="*/ 563237 w 744666"/>
            <a:gd name="connsiteY11" fmla="*/ 269816 h 367509"/>
            <a:gd name="connsiteX12" fmla="*/ 553933 w 744666"/>
            <a:gd name="connsiteY12" fmla="*/ 246556 h 367509"/>
            <a:gd name="connsiteX13" fmla="*/ 549281 w 744666"/>
            <a:gd name="connsiteY13" fmla="*/ 232600 h 367509"/>
            <a:gd name="connsiteX14" fmla="*/ 530673 w 744666"/>
            <a:gd name="connsiteY14" fmla="*/ 204688 h 367509"/>
            <a:gd name="connsiteX15" fmla="*/ 521369 w 744666"/>
            <a:gd name="connsiteY15" fmla="*/ 176776 h 367509"/>
            <a:gd name="connsiteX16" fmla="*/ 507413 w 744666"/>
            <a:gd name="connsiteY16" fmla="*/ 167472 h 367509"/>
            <a:gd name="connsiteX17" fmla="*/ 479501 w 744666"/>
            <a:gd name="connsiteY17" fmla="*/ 158168 h 367509"/>
            <a:gd name="connsiteX18" fmla="*/ 446937 w 744666"/>
            <a:gd name="connsiteY18" fmla="*/ 148864 h 367509"/>
            <a:gd name="connsiteX19" fmla="*/ 414373 w 744666"/>
            <a:gd name="connsiteY19" fmla="*/ 144212 h 367509"/>
            <a:gd name="connsiteX20" fmla="*/ 391112 w 744666"/>
            <a:gd name="connsiteY20" fmla="*/ 148864 h 367509"/>
            <a:gd name="connsiteX21" fmla="*/ 381808 w 744666"/>
            <a:gd name="connsiteY21" fmla="*/ 176776 h 367509"/>
            <a:gd name="connsiteX22" fmla="*/ 386460 w 744666"/>
            <a:gd name="connsiteY22" fmla="*/ 237252 h 367509"/>
            <a:gd name="connsiteX23" fmla="*/ 381808 w 744666"/>
            <a:gd name="connsiteY23" fmla="*/ 255860 h 367509"/>
            <a:gd name="connsiteX24" fmla="*/ 377156 w 744666"/>
            <a:gd name="connsiteY24" fmla="*/ 241904 h 367509"/>
            <a:gd name="connsiteX25" fmla="*/ 349244 w 744666"/>
            <a:gd name="connsiteY25" fmla="*/ 213992 h 367509"/>
            <a:gd name="connsiteX26" fmla="*/ 312028 w 744666"/>
            <a:gd name="connsiteY26" fmla="*/ 204688 h 367509"/>
            <a:gd name="connsiteX27" fmla="*/ 265508 w 744666"/>
            <a:gd name="connsiteY27" fmla="*/ 190732 h 367509"/>
            <a:gd name="connsiteX28" fmla="*/ 232944 w 744666"/>
            <a:gd name="connsiteY28" fmla="*/ 186080 h 367509"/>
            <a:gd name="connsiteX29" fmla="*/ 218988 w 744666"/>
            <a:gd name="connsiteY29" fmla="*/ 181428 h 367509"/>
            <a:gd name="connsiteX30" fmla="*/ 191076 w 744666"/>
            <a:gd name="connsiteY30" fmla="*/ 167472 h 367509"/>
            <a:gd name="connsiteX31" fmla="*/ 177120 w 744666"/>
            <a:gd name="connsiteY31" fmla="*/ 153516 h 367509"/>
            <a:gd name="connsiteX32" fmla="*/ 163164 w 744666"/>
            <a:gd name="connsiteY32" fmla="*/ 144212 h 367509"/>
            <a:gd name="connsiteX33" fmla="*/ 153860 w 744666"/>
            <a:gd name="connsiteY33" fmla="*/ 130256 h 367509"/>
            <a:gd name="connsiteX34" fmla="*/ 144556 w 744666"/>
            <a:gd name="connsiteY34" fmla="*/ 116300 h 367509"/>
            <a:gd name="connsiteX35" fmla="*/ 153860 w 744666"/>
            <a:gd name="connsiteY35" fmla="*/ 88388 h 367509"/>
            <a:gd name="connsiteX36" fmla="*/ 158512 w 744666"/>
            <a:gd name="connsiteY36" fmla="*/ 74432 h 367509"/>
            <a:gd name="connsiteX37" fmla="*/ 135252 w 744666"/>
            <a:gd name="connsiteY37" fmla="*/ 9304 h 367509"/>
            <a:gd name="connsiteX38" fmla="*/ 107340 w 744666"/>
            <a:gd name="connsiteY38" fmla="*/ 0 h 367509"/>
            <a:gd name="connsiteX39" fmla="*/ 65471 w 744666"/>
            <a:gd name="connsiteY39" fmla="*/ 18608 h 367509"/>
            <a:gd name="connsiteX40" fmla="*/ 56167 w 744666"/>
            <a:gd name="connsiteY40" fmla="*/ 79084 h 367509"/>
            <a:gd name="connsiteX41" fmla="*/ 28255 w 744666"/>
            <a:gd name="connsiteY41" fmla="*/ 83736 h 367509"/>
            <a:gd name="connsiteX42" fmla="*/ 14299 w 744666"/>
            <a:gd name="connsiteY42" fmla="*/ 111648 h 367509"/>
            <a:gd name="connsiteX43" fmla="*/ 4995 w 744666"/>
            <a:gd name="connsiteY43" fmla="*/ 148864 h 367509"/>
            <a:gd name="connsiteX44" fmla="*/ 9647 w 744666"/>
            <a:gd name="connsiteY44" fmla="*/ 167472 h 367509"/>
            <a:gd name="connsiteX45" fmla="*/ 46863 w 744666"/>
            <a:gd name="connsiteY45" fmla="*/ 162820 h 367509"/>
            <a:gd name="connsiteX46" fmla="*/ 32907 w 744666"/>
            <a:gd name="connsiteY46" fmla="*/ 158168 h 367509"/>
            <a:gd name="connsiteX47" fmla="*/ 18951 w 744666"/>
            <a:gd name="connsiteY47" fmla="*/ 167472 h 367509"/>
            <a:gd name="connsiteX48" fmla="*/ 343 w 744666"/>
            <a:gd name="connsiteY48" fmla="*/ 195384 h 367509"/>
            <a:gd name="connsiteX49" fmla="*/ 4995 w 744666"/>
            <a:gd name="connsiteY49" fmla="*/ 241904 h 367509"/>
            <a:gd name="connsiteX50" fmla="*/ 28255 w 744666"/>
            <a:gd name="connsiteY50" fmla="*/ 237252 h 367509"/>
            <a:gd name="connsiteX51" fmla="*/ 46863 w 744666"/>
            <a:gd name="connsiteY51" fmla="*/ 223296 h 367509"/>
            <a:gd name="connsiteX52" fmla="*/ 32907 w 744666"/>
            <a:gd name="connsiteY52" fmla="*/ 232600 h 367509"/>
            <a:gd name="connsiteX53" fmla="*/ 28255 w 744666"/>
            <a:gd name="connsiteY53" fmla="*/ 293077 h 367509"/>
            <a:gd name="connsiteX54" fmla="*/ 37559 w 744666"/>
            <a:gd name="connsiteY54" fmla="*/ 307033 h 367509"/>
            <a:gd name="connsiteX55" fmla="*/ 51515 w 744666"/>
            <a:gd name="connsiteY55" fmla="*/ 311685 h 367509"/>
            <a:gd name="connsiteX56" fmla="*/ 84079 w 744666"/>
            <a:gd name="connsiteY56" fmla="*/ 297729 h 367509"/>
            <a:gd name="connsiteX57" fmla="*/ 107340 w 744666"/>
            <a:gd name="connsiteY57" fmla="*/ 274468 h 367509"/>
            <a:gd name="connsiteX58" fmla="*/ 111992 w 744666"/>
            <a:gd name="connsiteY58" fmla="*/ 260512 h 367509"/>
            <a:gd name="connsiteX59" fmla="*/ 130600 w 744666"/>
            <a:gd name="connsiteY59" fmla="*/ 209340 h 367509"/>
            <a:gd name="connsiteX60" fmla="*/ 135252 w 744666"/>
            <a:gd name="connsiteY60" fmla="*/ 209340 h 36750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Lst>
          <a:rect l="l" t="t" r="r" b="b"/>
          <a:pathLst>
            <a:path w="744666" h="367509">
              <a:moveTo>
                <a:pt x="740014" y="367509"/>
              </a:moveTo>
              <a:cubicBezTo>
                <a:pt x="741565" y="356654"/>
                <a:pt x="744666" y="345910"/>
                <a:pt x="744666" y="334945"/>
              </a:cubicBezTo>
              <a:cubicBezTo>
                <a:pt x="744666" y="315059"/>
                <a:pt x="740858" y="292226"/>
                <a:pt x="730710" y="274468"/>
              </a:cubicBezTo>
              <a:cubicBezTo>
                <a:pt x="728534" y="270660"/>
                <a:pt x="724507" y="268265"/>
                <a:pt x="721405" y="265164"/>
              </a:cubicBezTo>
              <a:cubicBezTo>
                <a:pt x="718304" y="258961"/>
                <a:pt x="714833" y="252930"/>
                <a:pt x="712101" y="246556"/>
              </a:cubicBezTo>
              <a:cubicBezTo>
                <a:pt x="703326" y="226082"/>
                <a:pt x="711507" y="227354"/>
                <a:pt x="688841" y="204688"/>
              </a:cubicBezTo>
              <a:cubicBezTo>
                <a:pt x="684189" y="200036"/>
                <a:pt x="680597" y="193996"/>
                <a:pt x="674885" y="190732"/>
              </a:cubicBezTo>
              <a:cubicBezTo>
                <a:pt x="669334" y="187560"/>
                <a:pt x="662480" y="187631"/>
                <a:pt x="656277" y="186080"/>
              </a:cubicBezTo>
              <a:cubicBezTo>
                <a:pt x="629358" y="189445"/>
                <a:pt x="622377" y="184683"/>
                <a:pt x="605105" y="200036"/>
              </a:cubicBezTo>
              <a:cubicBezTo>
                <a:pt x="595271" y="208778"/>
                <a:pt x="577193" y="227948"/>
                <a:pt x="577193" y="227948"/>
              </a:cubicBezTo>
              <a:lnTo>
                <a:pt x="567889" y="255860"/>
              </a:lnTo>
              <a:lnTo>
                <a:pt x="563237" y="269816"/>
              </a:lnTo>
              <a:cubicBezTo>
                <a:pt x="560136" y="262063"/>
                <a:pt x="556865" y="254375"/>
                <a:pt x="553933" y="246556"/>
              </a:cubicBezTo>
              <a:cubicBezTo>
                <a:pt x="552211" y="241965"/>
                <a:pt x="551662" y="236887"/>
                <a:pt x="549281" y="232600"/>
              </a:cubicBezTo>
              <a:cubicBezTo>
                <a:pt x="543851" y="222825"/>
                <a:pt x="534209" y="215296"/>
                <a:pt x="530673" y="204688"/>
              </a:cubicBezTo>
              <a:cubicBezTo>
                <a:pt x="527572" y="195384"/>
                <a:pt x="529529" y="182216"/>
                <a:pt x="521369" y="176776"/>
              </a:cubicBezTo>
              <a:cubicBezTo>
                <a:pt x="516717" y="173675"/>
                <a:pt x="512522" y="169743"/>
                <a:pt x="507413" y="167472"/>
              </a:cubicBezTo>
              <a:cubicBezTo>
                <a:pt x="498451" y="163489"/>
                <a:pt x="488805" y="161269"/>
                <a:pt x="479501" y="158168"/>
              </a:cubicBezTo>
              <a:cubicBezTo>
                <a:pt x="467544" y="154182"/>
                <a:pt x="459788" y="151201"/>
                <a:pt x="446937" y="148864"/>
              </a:cubicBezTo>
              <a:cubicBezTo>
                <a:pt x="436149" y="146903"/>
                <a:pt x="425228" y="145763"/>
                <a:pt x="414373" y="144212"/>
              </a:cubicBezTo>
              <a:cubicBezTo>
                <a:pt x="406619" y="145763"/>
                <a:pt x="396703" y="143273"/>
                <a:pt x="391112" y="148864"/>
              </a:cubicBezTo>
              <a:cubicBezTo>
                <a:pt x="384177" y="155799"/>
                <a:pt x="381808" y="176776"/>
                <a:pt x="381808" y="176776"/>
              </a:cubicBezTo>
              <a:cubicBezTo>
                <a:pt x="383359" y="196935"/>
                <a:pt x="386460" y="217034"/>
                <a:pt x="386460" y="237252"/>
              </a:cubicBezTo>
              <a:cubicBezTo>
                <a:pt x="386460" y="243646"/>
                <a:pt x="387527" y="253001"/>
                <a:pt x="381808" y="255860"/>
              </a:cubicBezTo>
              <a:cubicBezTo>
                <a:pt x="377422" y="258053"/>
                <a:pt x="379349" y="246290"/>
                <a:pt x="377156" y="241904"/>
              </a:cubicBezTo>
              <a:cubicBezTo>
                <a:pt x="371351" y="230295"/>
                <a:pt x="361508" y="219102"/>
                <a:pt x="349244" y="213992"/>
              </a:cubicBezTo>
              <a:cubicBezTo>
                <a:pt x="337441" y="209074"/>
                <a:pt x="324159" y="208732"/>
                <a:pt x="312028" y="204688"/>
              </a:cubicBezTo>
              <a:cubicBezTo>
                <a:pt x="297463" y="199833"/>
                <a:pt x="280975" y="193544"/>
                <a:pt x="265508" y="190732"/>
              </a:cubicBezTo>
              <a:cubicBezTo>
                <a:pt x="254720" y="188771"/>
                <a:pt x="243799" y="187631"/>
                <a:pt x="232944" y="186080"/>
              </a:cubicBezTo>
              <a:cubicBezTo>
                <a:pt x="228292" y="184529"/>
                <a:pt x="223374" y="183621"/>
                <a:pt x="218988" y="181428"/>
              </a:cubicBezTo>
              <a:cubicBezTo>
                <a:pt x="182916" y="163392"/>
                <a:pt x="226155" y="179165"/>
                <a:pt x="191076" y="167472"/>
              </a:cubicBezTo>
              <a:cubicBezTo>
                <a:pt x="186424" y="162820"/>
                <a:pt x="182174" y="157728"/>
                <a:pt x="177120" y="153516"/>
              </a:cubicBezTo>
              <a:cubicBezTo>
                <a:pt x="172825" y="149937"/>
                <a:pt x="167117" y="148165"/>
                <a:pt x="163164" y="144212"/>
              </a:cubicBezTo>
              <a:cubicBezTo>
                <a:pt x="159211" y="140259"/>
                <a:pt x="156961" y="134908"/>
                <a:pt x="153860" y="130256"/>
              </a:cubicBezTo>
              <a:lnTo>
                <a:pt x="144556" y="116300"/>
              </a:lnTo>
              <a:lnTo>
                <a:pt x="153860" y="88388"/>
              </a:lnTo>
              <a:lnTo>
                <a:pt x="158512" y="74432"/>
              </a:lnTo>
              <a:cubicBezTo>
                <a:pt x="156819" y="60886"/>
                <a:pt x="156908" y="16523"/>
                <a:pt x="135252" y="9304"/>
              </a:cubicBezTo>
              <a:lnTo>
                <a:pt x="107340" y="0"/>
              </a:lnTo>
              <a:cubicBezTo>
                <a:pt x="99720" y="1270"/>
                <a:pt x="67417" y="1095"/>
                <a:pt x="65471" y="18608"/>
              </a:cubicBezTo>
              <a:cubicBezTo>
                <a:pt x="58022" y="85651"/>
                <a:pt x="92511" y="103313"/>
                <a:pt x="56167" y="79084"/>
              </a:cubicBezTo>
              <a:cubicBezTo>
                <a:pt x="46863" y="80635"/>
                <a:pt x="36692" y="79518"/>
                <a:pt x="28255" y="83736"/>
              </a:cubicBezTo>
              <a:cubicBezTo>
                <a:pt x="21569" y="87079"/>
                <a:pt x="16037" y="105275"/>
                <a:pt x="14299" y="111648"/>
              </a:cubicBezTo>
              <a:cubicBezTo>
                <a:pt x="10934" y="123985"/>
                <a:pt x="4995" y="148864"/>
                <a:pt x="4995" y="148864"/>
              </a:cubicBezTo>
              <a:cubicBezTo>
                <a:pt x="6546" y="155067"/>
                <a:pt x="3582" y="165450"/>
                <a:pt x="9647" y="167472"/>
              </a:cubicBezTo>
              <a:cubicBezTo>
                <a:pt x="21507" y="171425"/>
                <a:pt x="35255" y="167463"/>
                <a:pt x="46863" y="162820"/>
              </a:cubicBezTo>
              <a:cubicBezTo>
                <a:pt x="51416" y="160999"/>
                <a:pt x="37559" y="159719"/>
                <a:pt x="32907" y="158168"/>
              </a:cubicBezTo>
              <a:cubicBezTo>
                <a:pt x="28255" y="161269"/>
                <a:pt x="22633" y="163264"/>
                <a:pt x="18951" y="167472"/>
              </a:cubicBezTo>
              <a:cubicBezTo>
                <a:pt x="11588" y="175887"/>
                <a:pt x="343" y="195384"/>
                <a:pt x="343" y="195384"/>
              </a:cubicBezTo>
              <a:cubicBezTo>
                <a:pt x="1894" y="210891"/>
                <a:pt x="-3649" y="228937"/>
                <a:pt x="4995" y="241904"/>
              </a:cubicBezTo>
              <a:cubicBezTo>
                <a:pt x="9381" y="248483"/>
                <a:pt x="21030" y="240463"/>
                <a:pt x="28255" y="237252"/>
              </a:cubicBezTo>
              <a:cubicBezTo>
                <a:pt x="35340" y="234103"/>
                <a:pt x="53314" y="218995"/>
                <a:pt x="46863" y="223296"/>
              </a:cubicBezTo>
              <a:lnTo>
                <a:pt x="32907" y="232600"/>
              </a:lnTo>
              <a:cubicBezTo>
                <a:pt x="23263" y="261533"/>
                <a:pt x="18720" y="261292"/>
                <a:pt x="28255" y="293077"/>
              </a:cubicBezTo>
              <a:cubicBezTo>
                <a:pt x="29862" y="298432"/>
                <a:pt x="33193" y="303540"/>
                <a:pt x="37559" y="307033"/>
              </a:cubicBezTo>
              <a:cubicBezTo>
                <a:pt x="41388" y="310096"/>
                <a:pt x="46863" y="310134"/>
                <a:pt x="51515" y="311685"/>
              </a:cubicBezTo>
              <a:cubicBezTo>
                <a:pt x="68199" y="307514"/>
                <a:pt x="71229" y="308973"/>
                <a:pt x="84079" y="297729"/>
              </a:cubicBezTo>
              <a:cubicBezTo>
                <a:pt x="92331" y="290508"/>
                <a:pt x="107340" y="274468"/>
                <a:pt x="107340" y="274468"/>
              </a:cubicBezTo>
              <a:cubicBezTo>
                <a:pt x="108891" y="269816"/>
                <a:pt x="111186" y="265349"/>
                <a:pt x="111992" y="260512"/>
              </a:cubicBezTo>
              <a:cubicBezTo>
                <a:pt x="118184" y="223358"/>
                <a:pt x="104593" y="222344"/>
                <a:pt x="130600" y="209340"/>
              </a:cubicBezTo>
              <a:cubicBezTo>
                <a:pt x="131987" y="208647"/>
                <a:pt x="133701" y="209340"/>
                <a:pt x="135252" y="20934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534176</xdr:colOff>
      <xdr:row>759</xdr:row>
      <xdr:rowOff>60477</xdr:rowOff>
    </xdr:from>
    <xdr:to>
      <xdr:col>1</xdr:col>
      <xdr:colOff>614066</xdr:colOff>
      <xdr:row>762</xdr:row>
      <xdr:rowOff>21911</xdr:rowOff>
    </xdr:to>
    <xdr:sp macro="" textlink="">
      <xdr:nvSpPr>
        <xdr:cNvPr id="8" name="Freeform 7">
          <a:extLst>
            <a:ext uri="{FF2B5EF4-FFF2-40B4-BE49-F238E27FC236}">
              <a16:creationId xmlns:a16="http://schemas.microsoft.com/office/drawing/2014/main" id="{02474604-6D8D-544C-AAB2-CC8A98A17C6D}"/>
            </a:ext>
          </a:extLst>
        </xdr:cNvPr>
        <xdr:cNvSpPr/>
      </xdr:nvSpPr>
      <xdr:spPr>
        <a:xfrm>
          <a:off x="13523590534" y="33309077"/>
          <a:ext cx="905390" cy="571034"/>
        </a:xfrm>
        <a:custGeom>
          <a:avLst/>
          <a:gdLst>
            <a:gd name="connsiteX0" fmla="*/ 0 w 903297"/>
            <a:gd name="connsiteY0" fmla="*/ 567545 h 575500"/>
            <a:gd name="connsiteX1" fmla="*/ 218644 w 903297"/>
            <a:gd name="connsiteY1" fmla="*/ 567545 h 575500"/>
            <a:gd name="connsiteX2" fmla="*/ 334945 w 903297"/>
            <a:gd name="connsiteY2" fmla="*/ 558241 h 575500"/>
            <a:gd name="connsiteX3" fmla="*/ 376813 w 903297"/>
            <a:gd name="connsiteY3" fmla="*/ 548937 h 575500"/>
            <a:gd name="connsiteX4" fmla="*/ 423333 w 903297"/>
            <a:gd name="connsiteY4" fmla="*/ 530329 h 575500"/>
            <a:gd name="connsiteX5" fmla="*/ 493113 w 903297"/>
            <a:gd name="connsiteY5" fmla="*/ 507069 h 575500"/>
            <a:gd name="connsiteX6" fmla="*/ 516373 w 903297"/>
            <a:gd name="connsiteY6" fmla="*/ 497765 h 575500"/>
            <a:gd name="connsiteX7" fmla="*/ 534981 w 903297"/>
            <a:gd name="connsiteY7" fmla="*/ 483809 h 575500"/>
            <a:gd name="connsiteX8" fmla="*/ 581502 w 903297"/>
            <a:gd name="connsiteY8" fmla="*/ 455897 h 575500"/>
            <a:gd name="connsiteX9" fmla="*/ 609414 w 903297"/>
            <a:gd name="connsiteY9" fmla="*/ 427985 h 575500"/>
            <a:gd name="connsiteX10" fmla="*/ 628022 w 903297"/>
            <a:gd name="connsiteY10" fmla="*/ 414029 h 575500"/>
            <a:gd name="connsiteX11" fmla="*/ 641978 w 903297"/>
            <a:gd name="connsiteY11" fmla="*/ 400073 h 575500"/>
            <a:gd name="connsiteX12" fmla="*/ 655934 w 903297"/>
            <a:gd name="connsiteY12" fmla="*/ 390769 h 575500"/>
            <a:gd name="connsiteX13" fmla="*/ 679194 w 903297"/>
            <a:gd name="connsiteY13" fmla="*/ 362857 h 575500"/>
            <a:gd name="connsiteX14" fmla="*/ 688498 w 903297"/>
            <a:gd name="connsiteY14" fmla="*/ 325641 h 575500"/>
            <a:gd name="connsiteX15" fmla="*/ 693150 w 903297"/>
            <a:gd name="connsiteY15" fmla="*/ 307033 h 575500"/>
            <a:gd name="connsiteX16" fmla="*/ 702454 w 903297"/>
            <a:gd name="connsiteY16" fmla="*/ 288424 h 575500"/>
            <a:gd name="connsiteX17" fmla="*/ 711758 w 903297"/>
            <a:gd name="connsiteY17" fmla="*/ 260512 h 575500"/>
            <a:gd name="connsiteX18" fmla="*/ 721062 w 903297"/>
            <a:gd name="connsiteY18" fmla="*/ 246556 h 575500"/>
            <a:gd name="connsiteX19" fmla="*/ 730366 w 903297"/>
            <a:gd name="connsiteY19" fmla="*/ 209340 h 575500"/>
            <a:gd name="connsiteX20" fmla="*/ 735018 w 903297"/>
            <a:gd name="connsiteY20" fmla="*/ 190732 h 575500"/>
            <a:gd name="connsiteX21" fmla="*/ 739670 w 903297"/>
            <a:gd name="connsiteY21" fmla="*/ 167472 h 575500"/>
            <a:gd name="connsiteX22" fmla="*/ 744322 w 903297"/>
            <a:gd name="connsiteY22" fmla="*/ 153516 h 575500"/>
            <a:gd name="connsiteX23" fmla="*/ 748974 w 903297"/>
            <a:gd name="connsiteY23" fmla="*/ 134908 h 575500"/>
            <a:gd name="connsiteX24" fmla="*/ 772234 w 903297"/>
            <a:gd name="connsiteY24" fmla="*/ 139560 h 575500"/>
            <a:gd name="connsiteX25" fmla="*/ 837362 w 903297"/>
            <a:gd name="connsiteY25" fmla="*/ 130256 h 575500"/>
            <a:gd name="connsiteX26" fmla="*/ 851318 w 903297"/>
            <a:gd name="connsiteY26" fmla="*/ 125604 h 575500"/>
            <a:gd name="connsiteX27" fmla="*/ 874579 w 903297"/>
            <a:gd name="connsiteY27" fmla="*/ 120952 h 575500"/>
            <a:gd name="connsiteX28" fmla="*/ 893187 w 903297"/>
            <a:gd name="connsiteY28" fmla="*/ 116300 h 575500"/>
            <a:gd name="connsiteX29" fmla="*/ 893187 w 903297"/>
            <a:gd name="connsiteY29" fmla="*/ 88388 h 575500"/>
            <a:gd name="connsiteX30" fmla="*/ 874579 w 903297"/>
            <a:gd name="connsiteY30" fmla="*/ 93040 h 575500"/>
            <a:gd name="connsiteX31" fmla="*/ 846666 w 903297"/>
            <a:gd name="connsiteY31" fmla="*/ 102344 h 575500"/>
            <a:gd name="connsiteX32" fmla="*/ 832710 w 903297"/>
            <a:gd name="connsiteY32" fmla="*/ 106996 h 575500"/>
            <a:gd name="connsiteX33" fmla="*/ 814102 w 903297"/>
            <a:gd name="connsiteY33" fmla="*/ 111648 h 575500"/>
            <a:gd name="connsiteX34" fmla="*/ 818754 w 903297"/>
            <a:gd name="connsiteY34" fmla="*/ 93040 h 575500"/>
            <a:gd name="connsiteX35" fmla="*/ 837362 w 903297"/>
            <a:gd name="connsiteY35" fmla="*/ 74432 h 575500"/>
            <a:gd name="connsiteX36" fmla="*/ 851318 w 903297"/>
            <a:gd name="connsiteY36" fmla="*/ 46520 h 575500"/>
            <a:gd name="connsiteX37" fmla="*/ 842014 w 903297"/>
            <a:gd name="connsiteY37" fmla="*/ 18608 h 575500"/>
            <a:gd name="connsiteX38" fmla="*/ 837362 w 903297"/>
            <a:gd name="connsiteY38" fmla="*/ 4652 h 575500"/>
            <a:gd name="connsiteX39" fmla="*/ 823406 w 903297"/>
            <a:gd name="connsiteY39" fmla="*/ 0 h 575500"/>
            <a:gd name="connsiteX40" fmla="*/ 781538 w 903297"/>
            <a:gd name="connsiteY40" fmla="*/ 4652 h 575500"/>
            <a:gd name="connsiteX41" fmla="*/ 772234 w 903297"/>
            <a:gd name="connsiteY41" fmla="*/ 18608 h 575500"/>
            <a:gd name="connsiteX42" fmla="*/ 762930 w 903297"/>
            <a:gd name="connsiteY42" fmla="*/ 46520 h 575500"/>
            <a:gd name="connsiteX43" fmla="*/ 762930 w 903297"/>
            <a:gd name="connsiteY43" fmla="*/ 60476 h 575500"/>
            <a:gd name="connsiteX44" fmla="*/ 753626 w 903297"/>
            <a:gd name="connsiteY44" fmla="*/ 41868 h 575500"/>
            <a:gd name="connsiteX45" fmla="*/ 702454 w 903297"/>
            <a:gd name="connsiteY45" fmla="*/ 13956 h 575500"/>
            <a:gd name="connsiteX46" fmla="*/ 674542 w 903297"/>
            <a:gd name="connsiteY46" fmla="*/ 0 h 575500"/>
            <a:gd name="connsiteX47" fmla="*/ 669890 w 903297"/>
            <a:gd name="connsiteY47" fmla="*/ 13956 h 575500"/>
            <a:gd name="connsiteX48" fmla="*/ 683846 w 903297"/>
            <a:gd name="connsiteY48" fmla="*/ 60476 h 575500"/>
            <a:gd name="connsiteX49" fmla="*/ 697802 w 903297"/>
            <a:gd name="connsiteY49" fmla="*/ 65128 h 575500"/>
            <a:gd name="connsiteX50" fmla="*/ 711758 w 903297"/>
            <a:gd name="connsiteY50" fmla="*/ 74432 h 575500"/>
            <a:gd name="connsiteX51" fmla="*/ 693150 w 903297"/>
            <a:gd name="connsiteY51" fmla="*/ 69780 h 575500"/>
            <a:gd name="connsiteX52" fmla="*/ 679194 w 903297"/>
            <a:gd name="connsiteY52" fmla="*/ 60476 h 575500"/>
            <a:gd name="connsiteX53" fmla="*/ 665238 w 903297"/>
            <a:gd name="connsiteY53" fmla="*/ 46520 h 575500"/>
            <a:gd name="connsiteX54" fmla="*/ 651282 w 903297"/>
            <a:gd name="connsiteY54" fmla="*/ 41868 h 575500"/>
            <a:gd name="connsiteX55" fmla="*/ 604762 w 903297"/>
            <a:gd name="connsiteY55" fmla="*/ 46520 h 575500"/>
            <a:gd name="connsiteX56" fmla="*/ 609414 w 903297"/>
            <a:gd name="connsiteY56" fmla="*/ 65128 h 575500"/>
            <a:gd name="connsiteX57" fmla="*/ 614066 w 903297"/>
            <a:gd name="connsiteY57" fmla="*/ 79084 h 575500"/>
            <a:gd name="connsiteX58" fmla="*/ 641978 w 903297"/>
            <a:gd name="connsiteY58" fmla="*/ 97692 h 575500"/>
            <a:gd name="connsiteX59" fmla="*/ 651282 w 903297"/>
            <a:gd name="connsiteY59" fmla="*/ 111648 h 575500"/>
            <a:gd name="connsiteX60" fmla="*/ 646630 w 903297"/>
            <a:gd name="connsiteY60" fmla="*/ 125604 h 575500"/>
            <a:gd name="connsiteX61" fmla="*/ 641978 w 903297"/>
            <a:gd name="connsiteY61" fmla="*/ 148864 h 575500"/>
            <a:gd name="connsiteX62" fmla="*/ 637326 w 903297"/>
            <a:gd name="connsiteY62" fmla="*/ 162820 h 575500"/>
            <a:gd name="connsiteX63" fmla="*/ 628022 w 903297"/>
            <a:gd name="connsiteY63" fmla="*/ 195384 h 575500"/>
            <a:gd name="connsiteX64" fmla="*/ 618718 w 903297"/>
            <a:gd name="connsiteY64" fmla="*/ 209340 h 575500"/>
            <a:gd name="connsiteX65" fmla="*/ 604762 w 903297"/>
            <a:gd name="connsiteY65" fmla="*/ 237252 h 575500"/>
            <a:gd name="connsiteX66" fmla="*/ 576850 w 903297"/>
            <a:gd name="connsiteY66" fmla="*/ 260512 h 575500"/>
            <a:gd name="connsiteX67" fmla="*/ 553590 w 903297"/>
            <a:gd name="connsiteY67" fmla="*/ 283772 h 575500"/>
            <a:gd name="connsiteX68" fmla="*/ 534981 w 903297"/>
            <a:gd name="connsiteY68" fmla="*/ 307033 h 575500"/>
            <a:gd name="connsiteX69" fmla="*/ 516373 w 903297"/>
            <a:gd name="connsiteY69" fmla="*/ 316337 h 575500"/>
            <a:gd name="connsiteX70" fmla="*/ 502417 w 903297"/>
            <a:gd name="connsiteY70" fmla="*/ 330293 h 575500"/>
            <a:gd name="connsiteX71" fmla="*/ 474505 w 903297"/>
            <a:gd name="connsiteY71" fmla="*/ 348901 h 575500"/>
            <a:gd name="connsiteX72" fmla="*/ 441941 w 903297"/>
            <a:gd name="connsiteY72" fmla="*/ 372161 h 575500"/>
            <a:gd name="connsiteX73" fmla="*/ 427985 w 903297"/>
            <a:gd name="connsiteY73" fmla="*/ 376813 h 575500"/>
            <a:gd name="connsiteX74" fmla="*/ 400073 w 903297"/>
            <a:gd name="connsiteY74" fmla="*/ 320989 h 575500"/>
            <a:gd name="connsiteX75" fmla="*/ 381465 w 903297"/>
            <a:gd name="connsiteY75" fmla="*/ 307033 h 575500"/>
            <a:gd name="connsiteX76" fmla="*/ 353553 w 903297"/>
            <a:gd name="connsiteY76" fmla="*/ 297728 h 575500"/>
            <a:gd name="connsiteX77" fmla="*/ 297729 w 903297"/>
            <a:gd name="connsiteY77" fmla="*/ 307033 h 575500"/>
            <a:gd name="connsiteX78" fmla="*/ 255861 w 903297"/>
            <a:gd name="connsiteY78" fmla="*/ 344249 h 575500"/>
            <a:gd name="connsiteX79" fmla="*/ 241905 w 903297"/>
            <a:gd name="connsiteY79" fmla="*/ 353553 h 575500"/>
            <a:gd name="connsiteX80" fmla="*/ 237253 w 903297"/>
            <a:gd name="connsiteY80" fmla="*/ 367509 h 575500"/>
            <a:gd name="connsiteX81" fmla="*/ 237253 w 903297"/>
            <a:gd name="connsiteY81" fmla="*/ 427985 h 575500"/>
            <a:gd name="connsiteX82" fmla="*/ 227949 w 903297"/>
            <a:gd name="connsiteY82" fmla="*/ 409377 h 575500"/>
            <a:gd name="connsiteX83" fmla="*/ 218644 w 903297"/>
            <a:gd name="connsiteY83" fmla="*/ 381465 h 575500"/>
            <a:gd name="connsiteX84" fmla="*/ 209340 w 903297"/>
            <a:gd name="connsiteY84" fmla="*/ 367509 h 575500"/>
            <a:gd name="connsiteX85" fmla="*/ 204688 w 903297"/>
            <a:gd name="connsiteY85" fmla="*/ 353553 h 575500"/>
            <a:gd name="connsiteX86" fmla="*/ 176776 w 903297"/>
            <a:gd name="connsiteY86" fmla="*/ 334945 h 575500"/>
            <a:gd name="connsiteX87" fmla="*/ 162820 w 903297"/>
            <a:gd name="connsiteY87" fmla="*/ 325641 h 575500"/>
            <a:gd name="connsiteX88" fmla="*/ 148864 w 903297"/>
            <a:gd name="connsiteY88" fmla="*/ 316337 h 575500"/>
            <a:gd name="connsiteX89" fmla="*/ 134908 w 903297"/>
            <a:gd name="connsiteY89" fmla="*/ 311685 h 575500"/>
            <a:gd name="connsiteX90" fmla="*/ 97692 w 903297"/>
            <a:gd name="connsiteY90" fmla="*/ 316337 h 575500"/>
            <a:gd name="connsiteX91" fmla="*/ 69780 w 903297"/>
            <a:gd name="connsiteY91" fmla="*/ 334945 h 575500"/>
            <a:gd name="connsiteX92" fmla="*/ 69780 w 903297"/>
            <a:gd name="connsiteY92" fmla="*/ 381465 h 575500"/>
            <a:gd name="connsiteX93" fmla="*/ 79084 w 903297"/>
            <a:gd name="connsiteY93" fmla="*/ 381465 h 575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Lst>
          <a:rect l="l" t="t" r="r" b="b"/>
          <a:pathLst>
            <a:path w="903297" h="575500">
              <a:moveTo>
                <a:pt x="0" y="567545"/>
              </a:moveTo>
              <a:cubicBezTo>
                <a:pt x="90089" y="580415"/>
                <a:pt x="43655" y="575621"/>
                <a:pt x="218644" y="567545"/>
              </a:cubicBezTo>
              <a:cubicBezTo>
                <a:pt x="257493" y="565752"/>
                <a:pt x="334945" y="558241"/>
                <a:pt x="334945" y="558241"/>
              </a:cubicBezTo>
              <a:cubicBezTo>
                <a:pt x="342316" y="556767"/>
                <a:pt x="368452" y="551923"/>
                <a:pt x="376813" y="548937"/>
              </a:cubicBezTo>
              <a:cubicBezTo>
                <a:pt x="392541" y="543320"/>
                <a:pt x="406956" y="533604"/>
                <a:pt x="423333" y="530329"/>
              </a:cubicBezTo>
              <a:cubicBezTo>
                <a:pt x="462970" y="522402"/>
                <a:pt x="439252" y="528614"/>
                <a:pt x="493113" y="507069"/>
              </a:cubicBezTo>
              <a:cubicBezTo>
                <a:pt x="500866" y="503968"/>
                <a:pt x="509693" y="502775"/>
                <a:pt x="516373" y="497765"/>
              </a:cubicBezTo>
              <a:cubicBezTo>
                <a:pt x="522576" y="493113"/>
                <a:pt x="528406" y="487918"/>
                <a:pt x="534981" y="483809"/>
              </a:cubicBezTo>
              <a:cubicBezTo>
                <a:pt x="554561" y="471572"/>
                <a:pt x="562381" y="475018"/>
                <a:pt x="581502" y="455897"/>
              </a:cubicBezTo>
              <a:cubicBezTo>
                <a:pt x="590806" y="446593"/>
                <a:pt x="599634" y="436787"/>
                <a:pt x="609414" y="427985"/>
              </a:cubicBezTo>
              <a:cubicBezTo>
                <a:pt x="615177" y="422798"/>
                <a:pt x="622135" y="419075"/>
                <a:pt x="628022" y="414029"/>
              </a:cubicBezTo>
              <a:cubicBezTo>
                <a:pt x="633017" y="409747"/>
                <a:pt x="636924" y="404285"/>
                <a:pt x="641978" y="400073"/>
              </a:cubicBezTo>
              <a:cubicBezTo>
                <a:pt x="646273" y="396494"/>
                <a:pt x="651639" y="394348"/>
                <a:pt x="655934" y="390769"/>
              </a:cubicBezTo>
              <a:cubicBezTo>
                <a:pt x="669366" y="379576"/>
                <a:pt x="670046" y="376579"/>
                <a:pt x="679194" y="362857"/>
              </a:cubicBezTo>
              <a:cubicBezTo>
                <a:pt x="688652" y="315567"/>
                <a:pt x="678962" y="359019"/>
                <a:pt x="688498" y="325641"/>
              </a:cubicBezTo>
              <a:cubicBezTo>
                <a:pt x="690254" y="319493"/>
                <a:pt x="690905" y="313019"/>
                <a:pt x="693150" y="307033"/>
              </a:cubicBezTo>
              <a:cubicBezTo>
                <a:pt x="695585" y="300539"/>
                <a:pt x="699878" y="294863"/>
                <a:pt x="702454" y="288424"/>
              </a:cubicBezTo>
              <a:cubicBezTo>
                <a:pt x="706096" y="279318"/>
                <a:pt x="706318" y="268672"/>
                <a:pt x="711758" y="260512"/>
              </a:cubicBezTo>
              <a:cubicBezTo>
                <a:pt x="714859" y="255860"/>
                <a:pt x="718562" y="251557"/>
                <a:pt x="721062" y="246556"/>
              </a:cubicBezTo>
              <a:cubicBezTo>
                <a:pt x="726050" y="236581"/>
                <a:pt x="728243" y="218895"/>
                <a:pt x="730366" y="209340"/>
              </a:cubicBezTo>
              <a:cubicBezTo>
                <a:pt x="731753" y="203099"/>
                <a:pt x="733631" y="196973"/>
                <a:pt x="735018" y="190732"/>
              </a:cubicBezTo>
              <a:cubicBezTo>
                <a:pt x="736733" y="183013"/>
                <a:pt x="737752" y="175143"/>
                <a:pt x="739670" y="167472"/>
              </a:cubicBezTo>
              <a:cubicBezTo>
                <a:pt x="740859" y="162715"/>
                <a:pt x="742975" y="158231"/>
                <a:pt x="744322" y="153516"/>
              </a:cubicBezTo>
              <a:cubicBezTo>
                <a:pt x="746078" y="147368"/>
                <a:pt x="747423" y="141111"/>
                <a:pt x="748974" y="134908"/>
              </a:cubicBezTo>
              <a:cubicBezTo>
                <a:pt x="756727" y="136459"/>
                <a:pt x="764327" y="139560"/>
                <a:pt x="772234" y="139560"/>
              </a:cubicBezTo>
              <a:cubicBezTo>
                <a:pt x="796331" y="139560"/>
                <a:pt x="815445" y="136518"/>
                <a:pt x="837362" y="130256"/>
              </a:cubicBezTo>
              <a:cubicBezTo>
                <a:pt x="842077" y="128909"/>
                <a:pt x="846561" y="126793"/>
                <a:pt x="851318" y="125604"/>
              </a:cubicBezTo>
              <a:cubicBezTo>
                <a:pt x="858989" y="123686"/>
                <a:pt x="866860" y="122667"/>
                <a:pt x="874579" y="120952"/>
              </a:cubicBezTo>
              <a:cubicBezTo>
                <a:pt x="880820" y="119565"/>
                <a:pt x="886984" y="117851"/>
                <a:pt x="893187" y="116300"/>
              </a:cubicBezTo>
              <a:cubicBezTo>
                <a:pt x="897698" y="109533"/>
                <a:pt x="913487" y="95155"/>
                <a:pt x="893187" y="88388"/>
              </a:cubicBezTo>
              <a:cubicBezTo>
                <a:pt x="887122" y="86366"/>
                <a:pt x="880703" y="91203"/>
                <a:pt x="874579" y="93040"/>
              </a:cubicBezTo>
              <a:cubicBezTo>
                <a:pt x="865185" y="95858"/>
                <a:pt x="855970" y="99243"/>
                <a:pt x="846666" y="102344"/>
              </a:cubicBezTo>
              <a:cubicBezTo>
                <a:pt x="842014" y="103895"/>
                <a:pt x="837467" y="105807"/>
                <a:pt x="832710" y="106996"/>
              </a:cubicBezTo>
              <a:lnTo>
                <a:pt x="814102" y="111648"/>
              </a:lnTo>
              <a:cubicBezTo>
                <a:pt x="815653" y="105445"/>
                <a:pt x="815365" y="98462"/>
                <a:pt x="818754" y="93040"/>
              </a:cubicBezTo>
              <a:cubicBezTo>
                <a:pt x="823403" y="85601"/>
                <a:pt x="831653" y="81092"/>
                <a:pt x="837362" y="74432"/>
              </a:cubicBezTo>
              <a:cubicBezTo>
                <a:pt x="847200" y="62954"/>
                <a:pt x="846815" y="60028"/>
                <a:pt x="851318" y="46520"/>
              </a:cubicBezTo>
              <a:lnTo>
                <a:pt x="842014" y="18608"/>
              </a:lnTo>
              <a:cubicBezTo>
                <a:pt x="840463" y="13956"/>
                <a:pt x="842014" y="6203"/>
                <a:pt x="837362" y="4652"/>
              </a:cubicBezTo>
              <a:lnTo>
                <a:pt x="823406" y="0"/>
              </a:lnTo>
              <a:cubicBezTo>
                <a:pt x="809450" y="1551"/>
                <a:pt x="794734" y="-147"/>
                <a:pt x="781538" y="4652"/>
              </a:cubicBezTo>
              <a:cubicBezTo>
                <a:pt x="776284" y="6563"/>
                <a:pt x="774505" y="13499"/>
                <a:pt x="772234" y="18608"/>
              </a:cubicBezTo>
              <a:cubicBezTo>
                <a:pt x="768251" y="27570"/>
                <a:pt x="762930" y="46520"/>
                <a:pt x="762930" y="46520"/>
              </a:cubicBezTo>
              <a:cubicBezTo>
                <a:pt x="772060" y="101298"/>
                <a:pt x="768656" y="71928"/>
                <a:pt x="762930" y="60476"/>
              </a:cubicBezTo>
              <a:cubicBezTo>
                <a:pt x="759829" y="54273"/>
                <a:pt x="758193" y="47087"/>
                <a:pt x="753626" y="41868"/>
              </a:cubicBezTo>
              <a:cubicBezTo>
                <a:pt x="718512" y="1738"/>
                <a:pt x="743930" y="41606"/>
                <a:pt x="702454" y="13956"/>
              </a:cubicBezTo>
              <a:cubicBezTo>
                <a:pt x="684418" y="1932"/>
                <a:pt x="693802" y="6420"/>
                <a:pt x="674542" y="0"/>
              </a:cubicBezTo>
              <a:cubicBezTo>
                <a:pt x="672991" y="4652"/>
                <a:pt x="669890" y="9052"/>
                <a:pt x="669890" y="13956"/>
              </a:cubicBezTo>
              <a:cubicBezTo>
                <a:pt x="669890" y="26578"/>
                <a:pt x="671235" y="50387"/>
                <a:pt x="683846" y="60476"/>
              </a:cubicBezTo>
              <a:cubicBezTo>
                <a:pt x="687675" y="63539"/>
                <a:pt x="693416" y="62935"/>
                <a:pt x="697802" y="65128"/>
              </a:cubicBezTo>
              <a:cubicBezTo>
                <a:pt x="702803" y="67628"/>
                <a:pt x="715711" y="70479"/>
                <a:pt x="711758" y="74432"/>
              </a:cubicBezTo>
              <a:cubicBezTo>
                <a:pt x="707237" y="78953"/>
                <a:pt x="699353" y="71331"/>
                <a:pt x="693150" y="69780"/>
              </a:cubicBezTo>
              <a:cubicBezTo>
                <a:pt x="688498" y="66679"/>
                <a:pt x="683489" y="64055"/>
                <a:pt x="679194" y="60476"/>
              </a:cubicBezTo>
              <a:cubicBezTo>
                <a:pt x="674140" y="56264"/>
                <a:pt x="670712" y="50169"/>
                <a:pt x="665238" y="46520"/>
              </a:cubicBezTo>
              <a:cubicBezTo>
                <a:pt x="661158" y="43800"/>
                <a:pt x="655934" y="43419"/>
                <a:pt x="651282" y="41868"/>
              </a:cubicBezTo>
              <a:cubicBezTo>
                <a:pt x="635775" y="43419"/>
                <a:pt x="618385" y="38952"/>
                <a:pt x="604762" y="46520"/>
              </a:cubicBezTo>
              <a:cubicBezTo>
                <a:pt x="599173" y="49625"/>
                <a:pt x="607658" y="58980"/>
                <a:pt x="609414" y="65128"/>
              </a:cubicBezTo>
              <a:cubicBezTo>
                <a:pt x="610761" y="69843"/>
                <a:pt x="610599" y="75617"/>
                <a:pt x="614066" y="79084"/>
              </a:cubicBezTo>
              <a:cubicBezTo>
                <a:pt x="621973" y="86991"/>
                <a:pt x="641978" y="97692"/>
                <a:pt x="641978" y="97692"/>
              </a:cubicBezTo>
              <a:cubicBezTo>
                <a:pt x="645079" y="102344"/>
                <a:pt x="650363" y="106133"/>
                <a:pt x="651282" y="111648"/>
              </a:cubicBezTo>
              <a:cubicBezTo>
                <a:pt x="652088" y="116485"/>
                <a:pt x="647819" y="120847"/>
                <a:pt x="646630" y="125604"/>
              </a:cubicBezTo>
              <a:cubicBezTo>
                <a:pt x="644712" y="133275"/>
                <a:pt x="643896" y="141193"/>
                <a:pt x="641978" y="148864"/>
              </a:cubicBezTo>
              <a:cubicBezTo>
                <a:pt x="640789" y="153621"/>
                <a:pt x="638673" y="158105"/>
                <a:pt x="637326" y="162820"/>
              </a:cubicBezTo>
              <a:cubicBezTo>
                <a:pt x="635339" y="169776"/>
                <a:pt x="631740" y="187948"/>
                <a:pt x="628022" y="195384"/>
              </a:cubicBezTo>
              <a:cubicBezTo>
                <a:pt x="625522" y="200385"/>
                <a:pt x="621218" y="204339"/>
                <a:pt x="618718" y="209340"/>
              </a:cubicBezTo>
              <a:cubicBezTo>
                <a:pt x="608228" y="230321"/>
                <a:pt x="621427" y="217254"/>
                <a:pt x="604762" y="237252"/>
              </a:cubicBezTo>
              <a:cubicBezTo>
                <a:pt x="593569" y="250684"/>
                <a:pt x="590572" y="251364"/>
                <a:pt x="576850" y="260512"/>
              </a:cubicBezTo>
              <a:cubicBezTo>
                <a:pt x="552039" y="297728"/>
                <a:pt x="584603" y="252759"/>
                <a:pt x="553590" y="283772"/>
              </a:cubicBezTo>
              <a:cubicBezTo>
                <a:pt x="541146" y="296216"/>
                <a:pt x="548794" y="297824"/>
                <a:pt x="534981" y="307033"/>
              </a:cubicBezTo>
              <a:cubicBezTo>
                <a:pt x="529211" y="310880"/>
                <a:pt x="522016" y="312306"/>
                <a:pt x="516373" y="316337"/>
              </a:cubicBezTo>
              <a:cubicBezTo>
                <a:pt x="511020" y="320161"/>
                <a:pt x="507610" y="326254"/>
                <a:pt x="502417" y="330293"/>
              </a:cubicBezTo>
              <a:cubicBezTo>
                <a:pt x="493590" y="337158"/>
                <a:pt x="483451" y="342192"/>
                <a:pt x="474505" y="348901"/>
              </a:cubicBezTo>
              <a:cubicBezTo>
                <a:pt x="470291" y="352062"/>
                <a:pt x="448743" y="368760"/>
                <a:pt x="441941" y="372161"/>
              </a:cubicBezTo>
              <a:cubicBezTo>
                <a:pt x="437555" y="374354"/>
                <a:pt x="432637" y="375262"/>
                <a:pt x="427985" y="376813"/>
              </a:cubicBezTo>
              <a:cubicBezTo>
                <a:pt x="422175" y="359384"/>
                <a:pt x="416105" y="333013"/>
                <a:pt x="400073" y="320989"/>
              </a:cubicBezTo>
              <a:cubicBezTo>
                <a:pt x="393870" y="316337"/>
                <a:pt x="388400" y="310501"/>
                <a:pt x="381465" y="307033"/>
              </a:cubicBezTo>
              <a:cubicBezTo>
                <a:pt x="372693" y="302647"/>
                <a:pt x="353553" y="297728"/>
                <a:pt x="353553" y="297728"/>
              </a:cubicBezTo>
              <a:cubicBezTo>
                <a:pt x="351134" y="297997"/>
                <a:pt x="309528" y="299659"/>
                <a:pt x="297729" y="307033"/>
              </a:cubicBezTo>
              <a:cubicBezTo>
                <a:pt x="272462" y="322825"/>
                <a:pt x="277212" y="325949"/>
                <a:pt x="255861" y="344249"/>
              </a:cubicBezTo>
              <a:cubicBezTo>
                <a:pt x="251616" y="347888"/>
                <a:pt x="246557" y="350452"/>
                <a:pt x="241905" y="353553"/>
              </a:cubicBezTo>
              <a:cubicBezTo>
                <a:pt x="240354" y="358205"/>
                <a:pt x="237253" y="362605"/>
                <a:pt x="237253" y="367509"/>
              </a:cubicBezTo>
              <a:cubicBezTo>
                <a:pt x="237253" y="434328"/>
                <a:pt x="248450" y="394393"/>
                <a:pt x="237253" y="427985"/>
              </a:cubicBezTo>
              <a:cubicBezTo>
                <a:pt x="234152" y="421782"/>
                <a:pt x="230525" y="415816"/>
                <a:pt x="227949" y="409377"/>
              </a:cubicBezTo>
              <a:cubicBezTo>
                <a:pt x="224306" y="400271"/>
                <a:pt x="224084" y="389625"/>
                <a:pt x="218644" y="381465"/>
              </a:cubicBezTo>
              <a:cubicBezTo>
                <a:pt x="215543" y="376813"/>
                <a:pt x="211840" y="372510"/>
                <a:pt x="209340" y="367509"/>
              </a:cubicBezTo>
              <a:cubicBezTo>
                <a:pt x="207147" y="363123"/>
                <a:pt x="208155" y="357020"/>
                <a:pt x="204688" y="353553"/>
              </a:cubicBezTo>
              <a:cubicBezTo>
                <a:pt x="196781" y="345646"/>
                <a:pt x="186080" y="341148"/>
                <a:pt x="176776" y="334945"/>
              </a:cubicBezTo>
              <a:lnTo>
                <a:pt x="162820" y="325641"/>
              </a:lnTo>
              <a:cubicBezTo>
                <a:pt x="158168" y="322540"/>
                <a:pt x="154168" y="318105"/>
                <a:pt x="148864" y="316337"/>
              </a:cubicBezTo>
              <a:lnTo>
                <a:pt x="134908" y="311685"/>
              </a:lnTo>
              <a:cubicBezTo>
                <a:pt x="122503" y="313236"/>
                <a:pt x="109466" y="312132"/>
                <a:pt x="97692" y="316337"/>
              </a:cubicBezTo>
              <a:cubicBezTo>
                <a:pt x="87161" y="320098"/>
                <a:pt x="69780" y="334945"/>
                <a:pt x="69780" y="334945"/>
              </a:cubicBezTo>
              <a:cubicBezTo>
                <a:pt x="63752" y="353028"/>
                <a:pt x="59757" y="358079"/>
                <a:pt x="69780" y="381465"/>
              </a:cubicBezTo>
              <a:cubicBezTo>
                <a:pt x="71002" y="384316"/>
                <a:pt x="75983" y="381465"/>
                <a:pt x="79084" y="381465"/>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632675</xdr:colOff>
      <xdr:row>761</xdr:row>
      <xdr:rowOff>93040</xdr:rowOff>
    </xdr:from>
    <xdr:to>
      <xdr:col>2</xdr:col>
      <xdr:colOff>446595</xdr:colOff>
      <xdr:row>763</xdr:row>
      <xdr:rowOff>200036</xdr:rowOff>
    </xdr:to>
    <xdr:sp macro="" textlink="">
      <xdr:nvSpPr>
        <xdr:cNvPr id="9" name="TextBox 8">
          <a:extLst>
            <a:ext uri="{FF2B5EF4-FFF2-40B4-BE49-F238E27FC236}">
              <a16:creationId xmlns:a16="http://schemas.microsoft.com/office/drawing/2014/main" id="{A3695EBF-4F28-1E4C-B482-3731F7FCA1A9}"/>
            </a:ext>
          </a:extLst>
        </xdr:cNvPr>
        <xdr:cNvSpPr txBox="1"/>
      </xdr:nvSpPr>
      <xdr:spPr>
        <a:xfrm>
          <a:off x="13522932505" y="33748040"/>
          <a:ext cx="639420" cy="5133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1"/>
          <a:r>
            <a:rPr lang="he-IL" sz="800"/>
            <a:t>אין שוק פעיל</a:t>
          </a:r>
        </a:p>
        <a:p>
          <a:pPr algn="ctr" rtl="1"/>
          <a:r>
            <a:rPr lang="he-IL" sz="800"/>
            <a:t>אין כניסה</a:t>
          </a:r>
          <a:endParaRPr lang="en-US" sz="800"/>
        </a:p>
      </xdr:txBody>
    </xdr:sp>
    <xdr:clientData/>
  </xdr:twoCellAnchor>
  <xdr:twoCellAnchor>
    <xdr:from>
      <xdr:col>1</xdr:col>
      <xdr:colOff>800147</xdr:colOff>
      <xdr:row>760</xdr:row>
      <xdr:rowOff>195385</xdr:rowOff>
    </xdr:from>
    <xdr:to>
      <xdr:col>2</xdr:col>
      <xdr:colOff>241906</xdr:colOff>
      <xdr:row>761</xdr:row>
      <xdr:rowOff>69780</xdr:rowOff>
    </xdr:to>
    <xdr:sp macro="" textlink="">
      <xdr:nvSpPr>
        <xdr:cNvPr id="10" name="Rectangle 9">
          <a:extLst>
            <a:ext uri="{FF2B5EF4-FFF2-40B4-BE49-F238E27FC236}">
              <a16:creationId xmlns:a16="http://schemas.microsoft.com/office/drawing/2014/main" id="{7DBA111F-306C-DC47-A416-7D736FACA3FF}"/>
            </a:ext>
          </a:extLst>
        </xdr:cNvPr>
        <xdr:cNvSpPr/>
      </xdr:nvSpPr>
      <xdr:spPr>
        <a:xfrm>
          <a:off x="13523137194" y="33647185"/>
          <a:ext cx="267259" cy="7759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707107</xdr:colOff>
      <xdr:row>762</xdr:row>
      <xdr:rowOff>116300</xdr:rowOff>
    </xdr:from>
    <xdr:to>
      <xdr:col>5</xdr:col>
      <xdr:colOff>283774</xdr:colOff>
      <xdr:row>768</xdr:row>
      <xdr:rowOff>60475</xdr:rowOff>
    </xdr:to>
    <xdr:sp macro="" textlink="">
      <xdr:nvSpPr>
        <xdr:cNvPr id="11" name="Rectangle 10">
          <a:extLst>
            <a:ext uri="{FF2B5EF4-FFF2-40B4-BE49-F238E27FC236}">
              <a16:creationId xmlns:a16="http://schemas.microsoft.com/office/drawing/2014/main" id="{A52BA7A4-3DF7-CC47-A16A-0328CA3E30D3}"/>
            </a:ext>
          </a:extLst>
        </xdr:cNvPr>
        <xdr:cNvSpPr/>
      </xdr:nvSpPr>
      <xdr:spPr>
        <a:xfrm>
          <a:off x="13520618826" y="33974500"/>
          <a:ext cx="1227667" cy="1163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מועדון הערכה מחדש של נבמ״ים</a:t>
          </a:r>
          <a:endParaRPr lang="en-US" sz="1100"/>
        </a:p>
      </xdr:txBody>
    </xdr:sp>
    <xdr:clientData/>
  </xdr:twoCellAnchor>
  <xdr:twoCellAnchor>
    <xdr:from>
      <xdr:col>3</xdr:col>
      <xdr:colOff>702455</xdr:colOff>
      <xdr:row>758</xdr:row>
      <xdr:rowOff>162820</xdr:rowOff>
    </xdr:from>
    <xdr:to>
      <xdr:col>5</xdr:col>
      <xdr:colOff>274470</xdr:colOff>
      <xdr:row>762</xdr:row>
      <xdr:rowOff>106997</xdr:rowOff>
    </xdr:to>
    <xdr:sp macro="" textlink="">
      <xdr:nvSpPr>
        <xdr:cNvPr id="12" name="Triangle 11">
          <a:extLst>
            <a:ext uri="{FF2B5EF4-FFF2-40B4-BE49-F238E27FC236}">
              <a16:creationId xmlns:a16="http://schemas.microsoft.com/office/drawing/2014/main" id="{DC906D86-2F67-5140-994C-0C61DE036D4B}"/>
            </a:ext>
          </a:extLst>
        </xdr:cNvPr>
        <xdr:cNvSpPr/>
      </xdr:nvSpPr>
      <xdr:spPr>
        <a:xfrm>
          <a:off x="13520628130" y="33208220"/>
          <a:ext cx="1223015" cy="75697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237254</xdr:colOff>
      <xdr:row>764</xdr:row>
      <xdr:rowOff>93040</xdr:rowOff>
    </xdr:from>
    <xdr:to>
      <xdr:col>3</xdr:col>
      <xdr:colOff>69781</xdr:colOff>
      <xdr:row>768</xdr:row>
      <xdr:rowOff>65128</xdr:rowOff>
    </xdr:to>
    <xdr:sp macro="" textlink="">
      <xdr:nvSpPr>
        <xdr:cNvPr id="13" name="Freeform 12">
          <a:extLst>
            <a:ext uri="{FF2B5EF4-FFF2-40B4-BE49-F238E27FC236}">
              <a16:creationId xmlns:a16="http://schemas.microsoft.com/office/drawing/2014/main" id="{D08B0818-18C1-FC48-964C-D27BAEDDBA70}"/>
            </a:ext>
          </a:extLst>
        </xdr:cNvPr>
        <xdr:cNvSpPr/>
      </xdr:nvSpPr>
      <xdr:spPr>
        <a:xfrm>
          <a:off x="13522483819" y="34357640"/>
          <a:ext cx="658027" cy="784888"/>
        </a:xfrm>
        <a:custGeom>
          <a:avLst/>
          <a:gdLst>
            <a:gd name="connsiteX0" fmla="*/ 558242 w 655934"/>
            <a:gd name="connsiteY0" fmla="*/ 0 h 790842"/>
            <a:gd name="connsiteX1" fmla="*/ 525678 w 655934"/>
            <a:gd name="connsiteY1" fmla="*/ 4652 h 790842"/>
            <a:gd name="connsiteX2" fmla="*/ 493114 w 655934"/>
            <a:gd name="connsiteY2" fmla="*/ 51172 h 790842"/>
            <a:gd name="connsiteX3" fmla="*/ 483810 w 655934"/>
            <a:gd name="connsiteY3" fmla="*/ 65128 h 790842"/>
            <a:gd name="connsiteX4" fmla="*/ 479158 w 655934"/>
            <a:gd name="connsiteY4" fmla="*/ 83736 h 790842"/>
            <a:gd name="connsiteX5" fmla="*/ 465202 w 655934"/>
            <a:gd name="connsiteY5" fmla="*/ 158168 h 790842"/>
            <a:gd name="connsiteX6" fmla="*/ 455898 w 655934"/>
            <a:gd name="connsiteY6" fmla="*/ 451245 h 790842"/>
            <a:gd name="connsiteX7" fmla="*/ 446594 w 655934"/>
            <a:gd name="connsiteY7" fmla="*/ 465201 h 790842"/>
            <a:gd name="connsiteX8" fmla="*/ 390770 w 655934"/>
            <a:gd name="connsiteY8" fmla="*/ 534982 h 790842"/>
            <a:gd name="connsiteX9" fmla="*/ 246557 w 655934"/>
            <a:gd name="connsiteY9" fmla="*/ 628022 h 790842"/>
            <a:gd name="connsiteX10" fmla="*/ 190733 w 655934"/>
            <a:gd name="connsiteY10" fmla="*/ 660586 h 790842"/>
            <a:gd name="connsiteX11" fmla="*/ 102345 w 655934"/>
            <a:gd name="connsiteY11" fmla="*/ 730366 h 790842"/>
            <a:gd name="connsiteX12" fmla="*/ 79085 w 655934"/>
            <a:gd name="connsiteY12" fmla="*/ 748974 h 790842"/>
            <a:gd name="connsiteX13" fmla="*/ 27912 w 655934"/>
            <a:gd name="connsiteY13" fmla="*/ 772234 h 790842"/>
            <a:gd name="connsiteX14" fmla="*/ 0 w 655934"/>
            <a:gd name="connsiteY14" fmla="*/ 786190 h 790842"/>
            <a:gd name="connsiteX15" fmla="*/ 18608 w 655934"/>
            <a:gd name="connsiteY15" fmla="*/ 790842 h 790842"/>
            <a:gd name="connsiteX16" fmla="*/ 106997 w 655934"/>
            <a:gd name="connsiteY16" fmla="*/ 781538 h 790842"/>
            <a:gd name="connsiteX17" fmla="*/ 390770 w 655934"/>
            <a:gd name="connsiteY17" fmla="*/ 776886 h 790842"/>
            <a:gd name="connsiteX18" fmla="*/ 432638 w 655934"/>
            <a:gd name="connsiteY18" fmla="*/ 772234 h 790842"/>
            <a:gd name="connsiteX19" fmla="*/ 493114 w 655934"/>
            <a:gd name="connsiteY19" fmla="*/ 758278 h 790842"/>
            <a:gd name="connsiteX20" fmla="*/ 521026 w 655934"/>
            <a:gd name="connsiteY20" fmla="*/ 725714 h 790842"/>
            <a:gd name="connsiteX21" fmla="*/ 539634 w 655934"/>
            <a:gd name="connsiteY21" fmla="*/ 679194 h 790842"/>
            <a:gd name="connsiteX22" fmla="*/ 558242 w 655934"/>
            <a:gd name="connsiteY22" fmla="*/ 632674 h 790842"/>
            <a:gd name="connsiteX23" fmla="*/ 567546 w 655934"/>
            <a:gd name="connsiteY23" fmla="*/ 609414 h 790842"/>
            <a:gd name="connsiteX24" fmla="*/ 576850 w 655934"/>
            <a:gd name="connsiteY24" fmla="*/ 590806 h 790842"/>
            <a:gd name="connsiteX25" fmla="*/ 595458 w 655934"/>
            <a:gd name="connsiteY25" fmla="*/ 558242 h 790842"/>
            <a:gd name="connsiteX26" fmla="*/ 604762 w 655934"/>
            <a:gd name="connsiteY26" fmla="*/ 530330 h 790842"/>
            <a:gd name="connsiteX27" fmla="*/ 609414 w 655934"/>
            <a:gd name="connsiteY27" fmla="*/ 186080 h 790842"/>
            <a:gd name="connsiteX28" fmla="*/ 618718 w 655934"/>
            <a:gd name="connsiteY28" fmla="*/ 144212 h 790842"/>
            <a:gd name="connsiteX29" fmla="*/ 628022 w 655934"/>
            <a:gd name="connsiteY29" fmla="*/ 116300 h 790842"/>
            <a:gd name="connsiteX30" fmla="*/ 655934 w 655934"/>
            <a:gd name="connsiteY30" fmla="*/ 106996 h 7908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655934" h="790842">
              <a:moveTo>
                <a:pt x="558242" y="0"/>
              </a:moveTo>
              <a:cubicBezTo>
                <a:pt x="547387" y="1551"/>
                <a:pt x="536180" y="1501"/>
                <a:pt x="525678" y="4652"/>
              </a:cubicBezTo>
              <a:cubicBezTo>
                <a:pt x="504427" y="11027"/>
                <a:pt x="503692" y="35305"/>
                <a:pt x="493114" y="51172"/>
              </a:cubicBezTo>
              <a:lnTo>
                <a:pt x="483810" y="65128"/>
              </a:lnTo>
              <a:cubicBezTo>
                <a:pt x="482259" y="71331"/>
                <a:pt x="480498" y="77484"/>
                <a:pt x="479158" y="83736"/>
              </a:cubicBezTo>
              <a:cubicBezTo>
                <a:pt x="470793" y="122774"/>
                <a:pt x="470791" y="124637"/>
                <a:pt x="465202" y="158168"/>
              </a:cubicBezTo>
              <a:cubicBezTo>
                <a:pt x="462101" y="255860"/>
                <a:pt x="461811" y="353682"/>
                <a:pt x="455898" y="451245"/>
              </a:cubicBezTo>
              <a:cubicBezTo>
                <a:pt x="455560" y="456826"/>
                <a:pt x="449309" y="460314"/>
                <a:pt x="446594" y="465201"/>
              </a:cubicBezTo>
              <a:cubicBezTo>
                <a:pt x="427422" y="499711"/>
                <a:pt x="433143" y="506734"/>
                <a:pt x="390770" y="534982"/>
              </a:cubicBezTo>
              <a:cubicBezTo>
                <a:pt x="298830" y="596275"/>
                <a:pt x="317027" y="586381"/>
                <a:pt x="246557" y="628022"/>
              </a:cubicBezTo>
              <a:cubicBezTo>
                <a:pt x="228010" y="638981"/>
                <a:pt x="207282" y="646795"/>
                <a:pt x="190733" y="660586"/>
              </a:cubicBezTo>
              <a:cubicBezTo>
                <a:pt x="83980" y="749546"/>
                <a:pt x="177023" y="674358"/>
                <a:pt x="102345" y="730366"/>
              </a:cubicBezTo>
              <a:cubicBezTo>
                <a:pt x="94402" y="736323"/>
                <a:pt x="87541" y="743770"/>
                <a:pt x="79085" y="748974"/>
              </a:cubicBezTo>
              <a:cubicBezTo>
                <a:pt x="-31697" y="817147"/>
                <a:pt x="79484" y="746448"/>
                <a:pt x="27912" y="772234"/>
              </a:cubicBezTo>
              <a:cubicBezTo>
                <a:pt x="-8160" y="790270"/>
                <a:pt x="35079" y="774497"/>
                <a:pt x="0" y="786190"/>
              </a:cubicBezTo>
              <a:cubicBezTo>
                <a:pt x="6203" y="787741"/>
                <a:pt x="12214" y="790842"/>
                <a:pt x="18608" y="790842"/>
              </a:cubicBezTo>
              <a:cubicBezTo>
                <a:pt x="231555" y="790842"/>
                <a:pt x="-29899" y="785564"/>
                <a:pt x="106997" y="781538"/>
              </a:cubicBezTo>
              <a:cubicBezTo>
                <a:pt x="201560" y="778757"/>
                <a:pt x="296179" y="778437"/>
                <a:pt x="390770" y="776886"/>
              </a:cubicBezTo>
              <a:cubicBezTo>
                <a:pt x="404726" y="775335"/>
                <a:pt x="418768" y="774424"/>
                <a:pt x="432638" y="772234"/>
              </a:cubicBezTo>
              <a:cubicBezTo>
                <a:pt x="471648" y="766075"/>
                <a:pt x="467976" y="766657"/>
                <a:pt x="493114" y="758278"/>
              </a:cubicBezTo>
              <a:cubicBezTo>
                <a:pt x="502425" y="748967"/>
                <a:pt x="515058" y="737650"/>
                <a:pt x="521026" y="725714"/>
              </a:cubicBezTo>
              <a:cubicBezTo>
                <a:pt x="528495" y="710776"/>
                <a:pt x="533431" y="694701"/>
                <a:pt x="539634" y="679194"/>
              </a:cubicBezTo>
              <a:lnTo>
                <a:pt x="558242" y="632674"/>
              </a:lnTo>
              <a:cubicBezTo>
                <a:pt x="561343" y="624921"/>
                <a:pt x="563812" y="616883"/>
                <a:pt x="567546" y="609414"/>
              </a:cubicBezTo>
              <a:cubicBezTo>
                <a:pt x="570647" y="603211"/>
                <a:pt x="573409" y="596827"/>
                <a:pt x="576850" y="590806"/>
              </a:cubicBezTo>
              <a:cubicBezTo>
                <a:pt x="588040" y="571224"/>
                <a:pt x="586086" y="581672"/>
                <a:pt x="595458" y="558242"/>
              </a:cubicBezTo>
              <a:cubicBezTo>
                <a:pt x="599100" y="549136"/>
                <a:pt x="604762" y="530330"/>
                <a:pt x="604762" y="530330"/>
              </a:cubicBezTo>
              <a:cubicBezTo>
                <a:pt x="606313" y="415580"/>
                <a:pt x="606510" y="300804"/>
                <a:pt x="609414" y="186080"/>
              </a:cubicBezTo>
              <a:cubicBezTo>
                <a:pt x="609536" y="181245"/>
                <a:pt x="616825" y="150522"/>
                <a:pt x="618718" y="144212"/>
              </a:cubicBezTo>
              <a:cubicBezTo>
                <a:pt x="621536" y="134818"/>
                <a:pt x="618718" y="119401"/>
                <a:pt x="628022" y="116300"/>
              </a:cubicBezTo>
              <a:lnTo>
                <a:pt x="655934" y="10699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605542</xdr:colOff>
      <xdr:row>764</xdr:row>
      <xdr:rowOff>27912</xdr:rowOff>
    </xdr:from>
    <xdr:to>
      <xdr:col>1</xdr:col>
      <xdr:colOff>804799</xdr:colOff>
      <xdr:row>768</xdr:row>
      <xdr:rowOff>126194</xdr:rowOff>
    </xdr:to>
    <xdr:sp macro="" textlink="">
      <xdr:nvSpPr>
        <xdr:cNvPr id="14" name="Freeform 13">
          <a:extLst>
            <a:ext uri="{FF2B5EF4-FFF2-40B4-BE49-F238E27FC236}">
              <a16:creationId xmlns:a16="http://schemas.microsoft.com/office/drawing/2014/main" id="{7075D1ED-0AC0-B94E-BE9F-A50F50CA1291}"/>
            </a:ext>
          </a:extLst>
        </xdr:cNvPr>
        <xdr:cNvSpPr/>
      </xdr:nvSpPr>
      <xdr:spPr>
        <a:xfrm>
          <a:off x="13523399801" y="34292512"/>
          <a:ext cx="1024757" cy="911082"/>
        </a:xfrm>
        <a:custGeom>
          <a:avLst/>
          <a:gdLst>
            <a:gd name="connsiteX0" fmla="*/ 51172 w 1022664"/>
            <a:gd name="connsiteY0" fmla="*/ 0 h 917036"/>
            <a:gd name="connsiteX1" fmla="*/ 367509 w 1022664"/>
            <a:gd name="connsiteY1" fmla="*/ 158168 h 917036"/>
            <a:gd name="connsiteX2" fmla="*/ 521026 w 1022664"/>
            <a:gd name="connsiteY2" fmla="*/ 497765 h 917036"/>
            <a:gd name="connsiteX3" fmla="*/ 674542 w 1022664"/>
            <a:gd name="connsiteY3" fmla="*/ 739670 h 917036"/>
            <a:gd name="connsiteX4" fmla="*/ 1004835 w 1022664"/>
            <a:gd name="connsiteY4" fmla="*/ 776886 h 917036"/>
            <a:gd name="connsiteX5" fmla="*/ 907143 w 1022664"/>
            <a:gd name="connsiteY5" fmla="*/ 897838 h 917036"/>
            <a:gd name="connsiteX6" fmla="*/ 311685 w 1022664"/>
            <a:gd name="connsiteY6" fmla="*/ 855970 h 917036"/>
            <a:gd name="connsiteX7" fmla="*/ 204689 w 1022664"/>
            <a:gd name="connsiteY7" fmla="*/ 334945 h 917036"/>
            <a:gd name="connsiteX8" fmla="*/ 0 w 1022664"/>
            <a:gd name="connsiteY8" fmla="*/ 55824 h 9170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022664" h="917036">
              <a:moveTo>
                <a:pt x="51172" y="0"/>
              </a:moveTo>
              <a:cubicBezTo>
                <a:pt x="170186" y="37603"/>
                <a:pt x="289200" y="75207"/>
                <a:pt x="367509" y="158168"/>
              </a:cubicBezTo>
              <a:cubicBezTo>
                <a:pt x="445818" y="241129"/>
                <a:pt x="469854" y="400848"/>
                <a:pt x="521026" y="497765"/>
              </a:cubicBezTo>
              <a:cubicBezTo>
                <a:pt x="572198" y="594682"/>
                <a:pt x="593907" y="693150"/>
                <a:pt x="674542" y="739670"/>
              </a:cubicBezTo>
              <a:cubicBezTo>
                <a:pt x="755177" y="786190"/>
                <a:pt x="966068" y="750525"/>
                <a:pt x="1004835" y="776886"/>
              </a:cubicBezTo>
              <a:cubicBezTo>
                <a:pt x="1043602" y="803247"/>
                <a:pt x="1022668" y="884657"/>
                <a:pt x="907143" y="897838"/>
              </a:cubicBezTo>
              <a:cubicBezTo>
                <a:pt x="791618" y="911019"/>
                <a:pt x="428761" y="949786"/>
                <a:pt x="311685" y="855970"/>
              </a:cubicBezTo>
              <a:cubicBezTo>
                <a:pt x="194609" y="762154"/>
                <a:pt x="256636" y="468303"/>
                <a:pt x="204689" y="334945"/>
              </a:cubicBezTo>
              <a:cubicBezTo>
                <a:pt x="152742" y="201587"/>
                <a:pt x="76371" y="128705"/>
                <a:pt x="0" y="55824"/>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725715</xdr:colOff>
      <xdr:row>758</xdr:row>
      <xdr:rowOff>111558</xdr:rowOff>
    </xdr:from>
    <xdr:to>
      <xdr:col>2</xdr:col>
      <xdr:colOff>298993</xdr:colOff>
      <xdr:row>759</xdr:row>
      <xdr:rowOff>29220</xdr:rowOff>
    </xdr:to>
    <xdr:sp macro="" textlink="">
      <xdr:nvSpPr>
        <xdr:cNvPr id="15" name="Freeform 14">
          <a:extLst>
            <a:ext uri="{FF2B5EF4-FFF2-40B4-BE49-F238E27FC236}">
              <a16:creationId xmlns:a16="http://schemas.microsoft.com/office/drawing/2014/main" id="{9915F42A-158F-5F42-8C21-1B2FDA41FEFF}"/>
            </a:ext>
          </a:extLst>
        </xdr:cNvPr>
        <xdr:cNvSpPr/>
      </xdr:nvSpPr>
      <xdr:spPr>
        <a:xfrm>
          <a:off x="13523080107" y="33156958"/>
          <a:ext cx="398778" cy="120862"/>
        </a:xfrm>
        <a:custGeom>
          <a:avLst/>
          <a:gdLst>
            <a:gd name="connsiteX0" fmla="*/ 57087 w 396684"/>
            <a:gd name="connsiteY0" fmla="*/ 79174 h 122350"/>
            <a:gd name="connsiteX1" fmla="*/ 89651 w 396684"/>
            <a:gd name="connsiteY1" fmla="*/ 90 h 122350"/>
            <a:gd name="connsiteX2" fmla="*/ 117564 w 396684"/>
            <a:gd name="connsiteY2" fmla="*/ 9394 h 122350"/>
            <a:gd name="connsiteX3" fmla="*/ 126868 w 396684"/>
            <a:gd name="connsiteY3" fmla="*/ 23350 h 122350"/>
            <a:gd name="connsiteX4" fmla="*/ 122216 w 396684"/>
            <a:gd name="connsiteY4" fmla="*/ 60566 h 122350"/>
            <a:gd name="connsiteX5" fmla="*/ 98956 w 396684"/>
            <a:gd name="connsiteY5" fmla="*/ 65218 h 122350"/>
            <a:gd name="connsiteX6" fmla="*/ 75695 w 396684"/>
            <a:gd name="connsiteY6" fmla="*/ 60566 h 122350"/>
            <a:gd name="connsiteX7" fmla="*/ 80347 w 396684"/>
            <a:gd name="connsiteY7" fmla="*/ 28002 h 122350"/>
            <a:gd name="connsiteX8" fmla="*/ 94303 w 396684"/>
            <a:gd name="connsiteY8" fmla="*/ 23350 h 122350"/>
            <a:gd name="connsiteX9" fmla="*/ 131520 w 396684"/>
            <a:gd name="connsiteY9" fmla="*/ 32654 h 122350"/>
            <a:gd name="connsiteX10" fmla="*/ 154780 w 396684"/>
            <a:gd name="connsiteY10" fmla="*/ 69870 h 122350"/>
            <a:gd name="connsiteX11" fmla="*/ 140824 w 396684"/>
            <a:gd name="connsiteY11" fmla="*/ 79174 h 122350"/>
            <a:gd name="connsiteX12" fmla="*/ 122216 w 396684"/>
            <a:gd name="connsiteY12" fmla="*/ 41958 h 122350"/>
            <a:gd name="connsiteX13" fmla="*/ 126868 w 396684"/>
            <a:gd name="connsiteY13" fmla="*/ 23350 h 122350"/>
            <a:gd name="connsiteX14" fmla="*/ 238516 w 396684"/>
            <a:gd name="connsiteY14" fmla="*/ 41958 h 122350"/>
            <a:gd name="connsiteX15" fmla="*/ 229212 w 396684"/>
            <a:gd name="connsiteY15" fmla="*/ 60566 h 122350"/>
            <a:gd name="connsiteX16" fmla="*/ 182692 w 396684"/>
            <a:gd name="connsiteY16" fmla="*/ 41958 h 122350"/>
            <a:gd name="connsiteX17" fmla="*/ 178040 w 396684"/>
            <a:gd name="connsiteY17" fmla="*/ 28002 h 122350"/>
            <a:gd name="connsiteX18" fmla="*/ 187344 w 396684"/>
            <a:gd name="connsiteY18" fmla="*/ 4742 h 122350"/>
            <a:gd name="connsiteX19" fmla="*/ 247820 w 396684"/>
            <a:gd name="connsiteY19" fmla="*/ 18698 h 122350"/>
            <a:gd name="connsiteX20" fmla="*/ 257124 w 396684"/>
            <a:gd name="connsiteY20" fmla="*/ 37306 h 122350"/>
            <a:gd name="connsiteX21" fmla="*/ 261776 w 396684"/>
            <a:gd name="connsiteY21" fmla="*/ 51262 h 122350"/>
            <a:gd name="connsiteX22" fmla="*/ 247820 w 396684"/>
            <a:gd name="connsiteY22" fmla="*/ 60566 h 122350"/>
            <a:gd name="connsiteX23" fmla="*/ 224560 w 396684"/>
            <a:gd name="connsiteY23" fmla="*/ 55914 h 122350"/>
            <a:gd name="connsiteX24" fmla="*/ 229212 w 396684"/>
            <a:gd name="connsiteY24" fmla="*/ 4742 h 122350"/>
            <a:gd name="connsiteX25" fmla="*/ 294340 w 396684"/>
            <a:gd name="connsiteY25" fmla="*/ 28002 h 122350"/>
            <a:gd name="connsiteX26" fmla="*/ 308296 w 396684"/>
            <a:gd name="connsiteY26" fmla="*/ 46610 h 122350"/>
            <a:gd name="connsiteX27" fmla="*/ 326904 w 396684"/>
            <a:gd name="connsiteY27" fmla="*/ 74522 h 122350"/>
            <a:gd name="connsiteX28" fmla="*/ 317600 w 396684"/>
            <a:gd name="connsiteY28" fmla="*/ 102434 h 122350"/>
            <a:gd name="connsiteX29" fmla="*/ 289688 w 396684"/>
            <a:gd name="connsiteY29" fmla="*/ 97782 h 122350"/>
            <a:gd name="connsiteX30" fmla="*/ 275732 w 396684"/>
            <a:gd name="connsiteY30" fmla="*/ 65218 h 122350"/>
            <a:gd name="connsiteX31" fmla="*/ 289688 w 396684"/>
            <a:gd name="connsiteY31" fmla="*/ 37306 h 122350"/>
            <a:gd name="connsiteX32" fmla="*/ 331556 w 396684"/>
            <a:gd name="connsiteY32" fmla="*/ 37306 h 122350"/>
            <a:gd name="connsiteX33" fmla="*/ 340860 w 396684"/>
            <a:gd name="connsiteY33" fmla="*/ 51262 h 122350"/>
            <a:gd name="connsiteX34" fmla="*/ 350164 w 396684"/>
            <a:gd name="connsiteY34" fmla="*/ 93130 h 122350"/>
            <a:gd name="connsiteX35" fmla="*/ 345512 w 396684"/>
            <a:gd name="connsiteY35" fmla="*/ 111738 h 122350"/>
            <a:gd name="connsiteX36" fmla="*/ 326904 w 396684"/>
            <a:gd name="connsiteY36" fmla="*/ 107086 h 122350"/>
            <a:gd name="connsiteX37" fmla="*/ 322252 w 396684"/>
            <a:gd name="connsiteY37" fmla="*/ 93130 h 122350"/>
            <a:gd name="connsiteX38" fmla="*/ 317600 w 396684"/>
            <a:gd name="connsiteY38" fmla="*/ 69870 h 122350"/>
            <a:gd name="connsiteX39" fmla="*/ 322252 w 396684"/>
            <a:gd name="connsiteY39" fmla="*/ 32654 h 122350"/>
            <a:gd name="connsiteX40" fmla="*/ 368772 w 396684"/>
            <a:gd name="connsiteY40" fmla="*/ 46610 h 122350"/>
            <a:gd name="connsiteX41" fmla="*/ 387380 w 396684"/>
            <a:gd name="connsiteY41" fmla="*/ 83826 h 122350"/>
            <a:gd name="connsiteX42" fmla="*/ 382728 w 396684"/>
            <a:gd name="connsiteY42" fmla="*/ 107086 h 122350"/>
            <a:gd name="connsiteX43" fmla="*/ 364120 w 396684"/>
            <a:gd name="connsiteY43" fmla="*/ 111738 h 122350"/>
            <a:gd name="connsiteX44" fmla="*/ 359468 w 396684"/>
            <a:gd name="connsiteY44" fmla="*/ 55914 h 122350"/>
            <a:gd name="connsiteX45" fmla="*/ 378076 w 396684"/>
            <a:gd name="connsiteY45" fmla="*/ 51262 h 122350"/>
            <a:gd name="connsiteX46" fmla="*/ 392032 w 396684"/>
            <a:gd name="connsiteY46" fmla="*/ 65218 h 122350"/>
            <a:gd name="connsiteX47" fmla="*/ 392032 w 396684"/>
            <a:gd name="connsiteY47" fmla="*/ 97782 h 122350"/>
            <a:gd name="connsiteX48" fmla="*/ 368772 w 396684"/>
            <a:gd name="connsiteY48" fmla="*/ 111738 h 122350"/>
            <a:gd name="connsiteX49" fmla="*/ 312948 w 396684"/>
            <a:gd name="connsiteY49" fmla="*/ 83826 h 122350"/>
            <a:gd name="connsiteX50" fmla="*/ 308296 w 396684"/>
            <a:gd name="connsiteY50" fmla="*/ 69870 h 122350"/>
            <a:gd name="connsiteX51" fmla="*/ 312948 w 396684"/>
            <a:gd name="connsiteY51" fmla="*/ 28002 h 122350"/>
            <a:gd name="connsiteX52" fmla="*/ 364120 w 396684"/>
            <a:gd name="connsiteY52" fmla="*/ 60566 h 122350"/>
            <a:gd name="connsiteX53" fmla="*/ 350164 w 396684"/>
            <a:gd name="connsiteY53" fmla="*/ 107086 h 122350"/>
            <a:gd name="connsiteX54" fmla="*/ 266428 w 396684"/>
            <a:gd name="connsiteY54" fmla="*/ 111738 h 122350"/>
            <a:gd name="connsiteX55" fmla="*/ 233864 w 396684"/>
            <a:gd name="connsiteY55" fmla="*/ 74522 h 122350"/>
            <a:gd name="connsiteX56" fmla="*/ 224560 w 396684"/>
            <a:gd name="connsiteY56" fmla="*/ 51262 h 122350"/>
            <a:gd name="connsiteX57" fmla="*/ 229212 w 396684"/>
            <a:gd name="connsiteY57" fmla="*/ 23350 h 122350"/>
            <a:gd name="connsiteX58" fmla="*/ 289688 w 396684"/>
            <a:gd name="connsiteY58" fmla="*/ 18698 h 122350"/>
            <a:gd name="connsiteX59" fmla="*/ 303644 w 396684"/>
            <a:gd name="connsiteY59" fmla="*/ 28002 h 122350"/>
            <a:gd name="connsiteX60" fmla="*/ 303644 w 396684"/>
            <a:gd name="connsiteY60" fmla="*/ 65218 h 122350"/>
            <a:gd name="connsiteX61" fmla="*/ 275732 w 396684"/>
            <a:gd name="connsiteY61" fmla="*/ 79174 h 122350"/>
            <a:gd name="connsiteX62" fmla="*/ 210604 w 396684"/>
            <a:gd name="connsiteY62" fmla="*/ 60566 h 122350"/>
            <a:gd name="connsiteX63" fmla="*/ 205952 w 396684"/>
            <a:gd name="connsiteY63" fmla="*/ 46610 h 122350"/>
            <a:gd name="connsiteX64" fmla="*/ 210604 w 396684"/>
            <a:gd name="connsiteY64" fmla="*/ 28002 h 122350"/>
            <a:gd name="connsiteX65" fmla="*/ 271080 w 396684"/>
            <a:gd name="connsiteY65" fmla="*/ 18698 h 122350"/>
            <a:gd name="connsiteX66" fmla="*/ 280384 w 396684"/>
            <a:gd name="connsiteY66" fmla="*/ 51262 h 122350"/>
            <a:gd name="connsiteX67" fmla="*/ 252472 w 396684"/>
            <a:gd name="connsiteY67" fmla="*/ 97782 h 122350"/>
            <a:gd name="connsiteX68" fmla="*/ 238516 w 396684"/>
            <a:gd name="connsiteY68" fmla="*/ 102434 h 122350"/>
            <a:gd name="connsiteX69" fmla="*/ 201300 w 396684"/>
            <a:gd name="connsiteY69" fmla="*/ 97782 h 122350"/>
            <a:gd name="connsiteX70" fmla="*/ 173388 w 396684"/>
            <a:gd name="connsiteY70" fmla="*/ 65218 h 122350"/>
            <a:gd name="connsiteX71" fmla="*/ 182692 w 396684"/>
            <a:gd name="connsiteY71" fmla="*/ 4742 h 122350"/>
            <a:gd name="connsiteX72" fmla="*/ 229212 w 396684"/>
            <a:gd name="connsiteY72" fmla="*/ 9394 h 122350"/>
            <a:gd name="connsiteX73" fmla="*/ 238516 w 396684"/>
            <a:gd name="connsiteY73" fmla="*/ 23350 h 122350"/>
            <a:gd name="connsiteX74" fmla="*/ 238516 w 396684"/>
            <a:gd name="connsiteY74" fmla="*/ 60566 h 122350"/>
            <a:gd name="connsiteX75" fmla="*/ 215256 w 396684"/>
            <a:gd name="connsiteY75" fmla="*/ 74522 h 122350"/>
            <a:gd name="connsiteX76" fmla="*/ 168736 w 396684"/>
            <a:gd name="connsiteY76" fmla="*/ 55914 h 122350"/>
            <a:gd name="connsiteX77" fmla="*/ 164084 w 396684"/>
            <a:gd name="connsiteY77" fmla="*/ 41958 h 122350"/>
            <a:gd name="connsiteX78" fmla="*/ 173388 w 396684"/>
            <a:gd name="connsiteY78" fmla="*/ 9394 h 122350"/>
            <a:gd name="connsiteX79" fmla="*/ 210604 w 396684"/>
            <a:gd name="connsiteY79" fmla="*/ 32654 h 122350"/>
            <a:gd name="connsiteX80" fmla="*/ 205952 w 396684"/>
            <a:gd name="connsiteY80" fmla="*/ 74522 h 122350"/>
            <a:gd name="connsiteX81" fmla="*/ 159432 w 396684"/>
            <a:gd name="connsiteY81" fmla="*/ 79174 h 122350"/>
            <a:gd name="connsiteX82" fmla="*/ 150128 w 396684"/>
            <a:gd name="connsiteY82" fmla="*/ 65218 h 122350"/>
            <a:gd name="connsiteX83" fmla="*/ 154780 w 396684"/>
            <a:gd name="connsiteY83" fmla="*/ 14046 h 122350"/>
            <a:gd name="connsiteX84" fmla="*/ 196648 w 396684"/>
            <a:gd name="connsiteY84" fmla="*/ 23350 h 122350"/>
            <a:gd name="connsiteX85" fmla="*/ 168736 w 396684"/>
            <a:gd name="connsiteY85" fmla="*/ 79174 h 122350"/>
            <a:gd name="connsiteX86" fmla="*/ 140824 w 396684"/>
            <a:gd name="connsiteY86" fmla="*/ 69870 h 122350"/>
            <a:gd name="connsiteX87" fmla="*/ 126868 w 396684"/>
            <a:gd name="connsiteY87" fmla="*/ 37306 h 122350"/>
            <a:gd name="connsiteX88" fmla="*/ 131520 w 396684"/>
            <a:gd name="connsiteY88" fmla="*/ 23350 h 122350"/>
            <a:gd name="connsiteX89" fmla="*/ 187344 w 396684"/>
            <a:gd name="connsiteY89" fmla="*/ 23350 h 122350"/>
            <a:gd name="connsiteX90" fmla="*/ 196648 w 396684"/>
            <a:gd name="connsiteY90" fmla="*/ 37306 h 122350"/>
            <a:gd name="connsiteX91" fmla="*/ 173388 w 396684"/>
            <a:gd name="connsiteY91" fmla="*/ 102434 h 122350"/>
            <a:gd name="connsiteX92" fmla="*/ 159432 w 396684"/>
            <a:gd name="connsiteY92" fmla="*/ 107086 h 122350"/>
            <a:gd name="connsiteX93" fmla="*/ 117564 w 396684"/>
            <a:gd name="connsiteY93" fmla="*/ 97782 h 122350"/>
            <a:gd name="connsiteX94" fmla="*/ 89651 w 396684"/>
            <a:gd name="connsiteY94" fmla="*/ 65218 h 122350"/>
            <a:gd name="connsiteX95" fmla="*/ 94303 w 396684"/>
            <a:gd name="connsiteY95" fmla="*/ 32654 h 122350"/>
            <a:gd name="connsiteX96" fmla="*/ 112912 w 396684"/>
            <a:gd name="connsiteY96" fmla="*/ 28002 h 122350"/>
            <a:gd name="connsiteX97" fmla="*/ 154780 w 396684"/>
            <a:gd name="connsiteY97" fmla="*/ 37306 h 122350"/>
            <a:gd name="connsiteX98" fmla="*/ 159432 w 396684"/>
            <a:gd name="connsiteY98" fmla="*/ 102434 h 122350"/>
            <a:gd name="connsiteX99" fmla="*/ 131520 w 396684"/>
            <a:gd name="connsiteY99" fmla="*/ 116390 h 122350"/>
            <a:gd name="connsiteX100" fmla="*/ 98956 w 396684"/>
            <a:gd name="connsiteY100" fmla="*/ 111738 h 122350"/>
            <a:gd name="connsiteX101" fmla="*/ 84999 w 396684"/>
            <a:gd name="connsiteY101" fmla="*/ 97782 h 122350"/>
            <a:gd name="connsiteX102" fmla="*/ 71043 w 396684"/>
            <a:gd name="connsiteY102" fmla="*/ 69870 h 122350"/>
            <a:gd name="connsiteX103" fmla="*/ 80347 w 396684"/>
            <a:gd name="connsiteY103" fmla="*/ 41958 h 122350"/>
            <a:gd name="connsiteX104" fmla="*/ 136172 w 396684"/>
            <a:gd name="connsiteY104" fmla="*/ 69870 h 122350"/>
            <a:gd name="connsiteX105" fmla="*/ 131520 w 396684"/>
            <a:gd name="connsiteY105" fmla="*/ 107086 h 122350"/>
            <a:gd name="connsiteX106" fmla="*/ 117564 w 396684"/>
            <a:gd name="connsiteY106" fmla="*/ 111738 h 122350"/>
            <a:gd name="connsiteX107" fmla="*/ 75695 w 396684"/>
            <a:gd name="connsiteY107" fmla="*/ 97782 h 122350"/>
            <a:gd name="connsiteX108" fmla="*/ 57087 w 396684"/>
            <a:gd name="connsiteY108" fmla="*/ 83826 h 122350"/>
            <a:gd name="connsiteX109" fmla="*/ 43131 w 396684"/>
            <a:gd name="connsiteY109" fmla="*/ 55914 h 122350"/>
            <a:gd name="connsiteX110" fmla="*/ 52435 w 396684"/>
            <a:gd name="connsiteY110" fmla="*/ 41958 h 122350"/>
            <a:gd name="connsiteX111" fmla="*/ 84999 w 396684"/>
            <a:gd name="connsiteY111" fmla="*/ 74522 h 122350"/>
            <a:gd name="connsiteX112" fmla="*/ 75695 w 396684"/>
            <a:gd name="connsiteY112" fmla="*/ 97782 h 122350"/>
            <a:gd name="connsiteX113" fmla="*/ 29175 w 396684"/>
            <a:gd name="connsiteY113" fmla="*/ 74522 h 122350"/>
            <a:gd name="connsiteX114" fmla="*/ 19871 w 396684"/>
            <a:gd name="connsiteY114" fmla="*/ 60566 h 122350"/>
            <a:gd name="connsiteX115" fmla="*/ 24523 w 396684"/>
            <a:gd name="connsiteY115" fmla="*/ 32654 h 122350"/>
            <a:gd name="connsiteX116" fmla="*/ 75695 w 396684"/>
            <a:gd name="connsiteY116" fmla="*/ 51262 h 122350"/>
            <a:gd name="connsiteX117" fmla="*/ 80347 w 396684"/>
            <a:gd name="connsiteY117" fmla="*/ 65218 h 122350"/>
            <a:gd name="connsiteX118" fmla="*/ 71043 w 396684"/>
            <a:gd name="connsiteY118" fmla="*/ 97782 h 122350"/>
            <a:gd name="connsiteX119" fmla="*/ 33827 w 396684"/>
            <a:gd name="connsiteY119" fmla="*/ 97782 h 122350"/>
            <a:gd name="connsiteX120" fmla="*/ 5915 w 396684"/>
            <a:gd name="connsiteY120" fmla="*/ 60566 h 122350"/>
            <a:gd name="connsiteX121" fmla="*/ 19871 w 396684"/>
            <a:gd name="connsiteY121" fmla="*/ 37306 h 122350"/>
            <a:gd name="connsiteX122" fmla="*/ 52435 w 396684"/>
            <a:gd name="connsiteY122" fmla="*/ 41958 h 122350"/>
            <a:gd name="connsiteX123" fmla="*/ 57087 w 396684"/>
            <a:gd name="connsiteY123" fmla="*/ 60566 h 122350"/>
            <a:gd name="connsiteX124" fmla="*/ 29175 w 396684"/>
            <a:gd name="connsiteY124" fmla="*/ 102434 h 122350"/>
            <a:gd name="connsiteX125" fmla="*/ 5915 w 396684"/>
            <a:gd name="connsiteY125" fmla="*/ 74522 h 122350"/>
            <a:gd name="connsiteX126" fmla="*/ 15219 w 396684"/>
            <a:gd name="connsiteY126" fmla="*/ 55914 h 122350"/>
            <a:gd name="connsiteX127" fmla="*/ 38479 w 396684"/>
            <a:gd name="connsiteY127" fmla="*/ 65218 h 122350"/>
            <a:gd name="connsiteX128" fmla="*/ 38479 w 396684"/>
            <a:gd name="connsiteY128" fmla="*/ 102434 h 122350"/>
            <a:gd name="connsiteX129" fmla="*/ 24523 w 396684"/>
            <a:gd name="connsiteY129" fmla="*/ 107086 h 122350"/>
            <a:gd name="connsiteX130" fmla="*/ 1263 w 396684"/>
            <a:gd name="connsiteY130" fmla="*/ 79174 h 122350"/>
            <a:gd name="connsiteX131" fmla="*/ 15219 w 396684"/>
            <a:gd name="connsiteY131" fmla="*/ 69870 h 122350"/>
            <a:gd name="connsiteX132" fmla="*/ 57087 w 396684"/>
            <a:gd name="connsiteY132" fmla="*/ 79174 h 1223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Lst>
          <a:rect l="l" t="t" r="r" b="b"/>
          <a:pathLst>
            <a:path w="396684" h="122350">
              <a:moveTo>
                <a:pt x="57087" y="79174"/>
              </a:moveTo>
              <a:cubicBezTo>
                <a:pt x="57844" y="75643"/>
                <a:pt x="58458" y="3209"/>
                <a:pt x="89651" y="90"/>
              </a:cubicBezTo>
              <a:cubicBezTo>
                <a:pt x="99410" y="-886"/>
                <a:pt x="108260" y="6293"/>
                <a:pt x="117564" y="9394"/>
              </a:cubicBezTo>
              <a:cubicBezTo>
                <a:pt x="120665" y="14046"/>
                <a:pt x="124666" y="18211"/>
                <a:pt x="126868" y="23350"/>
              </a:cubicBezTo>
              <a:cubicBezTo>
                <a:pt x="131935" y="35173"/>
                <a:pt x="135754" y="50896"/>
                <a:pt x="122216" y="60566"/>
              </a:cubicBezTo>
              <a:cubicBezTo>
                <a:pt x="115782" y="65162"/>
                <a:pt x="106709" y="63667"/>
                <a:pt x="98956" y="65218"/>
              </a:cubicBezTo>
              <a:cubicBezTo>
                <a:pt x="91202" y="63667"/>
                <a:pt x="82129" y="65162"/>
                <a:pt x="75695" y="60566"/>
              </a:cubicBezTo>
              <a:cubicBezTo>
                <a:pt x="56845" y="47102"/>
                <a:pt x="67752" y="36399"/>
                <a:pt x="80347" y="28002"/>
              </a:cubicBezTo>
              <a:cubicBezTo>
                <a:pt x="84427" y="25282"/>
                <a:pt x="89651" y="24901"/>
                <a:pt x="94303" y="23350"/>
              </a:cubicBezTo>
              <a:cubicBezTo>
                <a:pt x="106709" y="26451"/>
                <a:pt x="120294" y="26531"/>
                <a:pt x="131520" y="32654"/>
              </a:cubicBezTo>
              <a:cubicBezTo>
                <a:pt x="139824" y="37183"/>
                <a:pt x="150786" y="61882"/>
                <a:pt x="154780" y="69870"/>
              </a:cubicBezTo>
              <a:cubicBezTo>
                <a:pt x="150128" y="72971"/>
                <a:pt x="145825" y="81674"/>
                <a:pt x="140824" y="79174"/>
              </a:cubicBezTo>
              <a:cubicBezTo>
                <a:pt x="132035" y="74780"/>
                <a:pt x="125557" y="51980"/>
                <a:pt x="122216" y="41958"/>
              </a:cubicBezTo>
              <a:cubicBezTo>
                <a:pt x="123767" y="35755"/>
                <a:pt x="120528" y="24177"/>
                <a:pt x="126868" y="23350"/>
              </a:cubicBezTo>
              <a:cubicBezTo>
                <a:pt x="223154" y="10791"/>
                <a:pt x="212175" y="2447"/>
                <a:pt x="238516" y="41958"/>
              </a:cubicBezTo>
              <a:cubicBezTo>
                <a:pt x="235415" y="48161"/>
                <a:pt x="235854" y="58573"/>
                <a:pt x="229212" y="60566"/>
              </a:cubicBezTo>
              <a:cubicBezTo>
                <a:pt x="202244" y="68656"/>
                <a:pt x="191867" y="60307"/>
                <a:pt x="182692" y="41958"/>
              </a:cubicBezTo>
              <a:cubicBezTo>
                <a:pt x="180499" y="37572"/>
                <a:pt x="179591" y="32654"/>
                <a:pt x="178040" y="28002"/>
              </a:cubicBezTo>
              <a:cubicBezTo>
                <a:pt x="181141" y="20249"/>
                <a:pt x="179422" y="7383"/>
                <a:pt x="187344" y="4742"/>
              </a:cubicBezTo>
              <a:cubicBezTo>
                <a:pt x="216858" y="-5096"/>
                <a:pt x="228994" y="6148"/>
                <a:pt x="247820" y="18698"/>
              </a:cubicBezTo>
              <a:cubicBezTo>
                <a:pt x="250921" y="24901"/>
                <a:pt x="254392" y="30932"/>
                <a:pt x="257124" y="37306"/>
              </a:cubicBezTo>
              <a:cubicBezTo>
                <a:pt x="259056" y="41813"/>
                <a:pt x="263597" y="46709"/>
                <a:pt x="261776" y="51262"/>
              </a:cubicBezTo>
              <a:cubicBezTo>
                <a:pt x="259700" y="56453"/>
                <a:pt x="252472" y="57465"/>
                <a:pt x="247820" y="60566"/>
              </a:cubicBezTo>
              <a:cubicBezTo>
                <a:pt x="240067" y="59015"/>
                <a:pt x="230563" y="61060"/>
                <a:pt x="224560" y="55914"/>
              </a:cubicBezTo>
              <a:cubicBezTo>
                <a:pt x="203822" y="38138"/>
                <a:pt x="220953" y="21260"/>
                <a:pt x="229212" y="4742"/>
              </a:cubicBezTo>
              <a:cubicBezTo>
                <a:pt x="275166" y="13097"/>
                <a:pt x="272561" y="2594"/>
                <a:pt x="294340" y="28002"/>
              </a:cubicBezTo>
              <a:cubicBezTo>
                <a:pt x="299386" y="33889"/>
                <a:pt x="303850" y="40258"/>
                <a:pt x="308296" y="46610"/>
              </a:cubicBezTo>
              <a:cubicBezTo>
                <a:pt x="314708" y="55771"/>
                <a:pt x="326904" y="74522"/>
                <a:pt x="326904" y="74522"/>
              </a:cubicBezTo>
              <a:cubicBezTo>
                <a:pt x="323803" y="83826"/>
                <a:pt x="325917" y="97236"/>
                <a:pt x="317600" y="102434"/>
              </a:cubicBezTo>
              <a:cubicBezTo>
                <a:pt x="309601" y="107433"/>
                <a:pt x="297687" y="102781"/>
                <a:pt x="289688" y="97782"/>
              </a:cubicBezTo>
              <a:cubicBezTo>
                <a:pt x="284847" y="94756"/>
                <a:pt x="277870" y="71633"/>
                <a:pt x="275732" y="65218"/>
              </a:cubicBezTo>
              <a:cubicBezTo>
                <a:pt x="280384" y="55914"/>
                <a:pt x="282333" y="44661"/>
                <a:pt x="289688" y="37306"/>
              </a:cubicBezTo>
              <a:cubicBezTo>
                <a:pt x="299543" y="27451"/>
                <a:pt x="322338" y="35462"/>
                <a:pt x="331556" y="37306"/>
              </a:cubicBezTo>
              <a:cubicBezTo>
                <a:pt x="334657" y="41958"/>
                <a:pt x="338360" y="46261"/>
                <a:pt x="340860" y="51262"/>
              </a:cubicBezTo>
              <a:cubicBezTo>
                <a:pt x="346586" y="62714"/>
                <a:pt x="348377" y="82410"/>
                <a:pt x="350164" y="93130"/>
              </a:cubicBezTo>
              <a:cubicBezTo>
                <a:pt x="348613" y="99333"/>
                <a:pt x="350994" y="108449"/>
                <a:pt x="345512" y="111738"/>
              </a:cubicBezTo>
              <a:cubicBezTo>
                <a:pt x="340030" y="115027"/>
                <a:pt x="331897" y="111080"/>
                <a:pt x="326904" y="107086"/>
              </a:cubicBezTo>
              <a:cubicBezTo>
                <a:pt x="323075" y="104023"/>
                <a:pt x="323441" y="97887"/>
                <a:pt x="322252" y="93130"/>
              </a:cubicBezTo>
              <a:cubicBezTo>
                <a:pt x="320334" y="85459"/>
                <a:pt x="319151" y="77623"/>
                <a:pt x="317600" y="69870"/>
              </a:cubicBezTo>
              <a:cubicBezTo>
                <a:pt x="319151" y="57465"/>
                <a:pt x="312843" y="40887"/>
                <a:pt x="322252" y="32654"/>
              </a:cubicBezTo>
              <a:cubicBezTo>
                <a:pt x="335197" y="21327"/>
                <a:pt x="358519" y="39775"/>
                <a:pt x="368772" y="46610"/>
              </a:cubicBezTo>
              <a:cubicBezTo>
                <a:pt x="375985" y="57429"/>
                <a:pt x="386041" y="70437"/>
                <a:pt x="387380" y="83826"/>
              </a:cubicBezTo>
              <a:cubicBezTo>
                <a:pt x="388167" y="91694"/>
                <a:pt x="387790" y="101012"/>
                <a:pt x="382728" y="107086"/>
              </a:cubicBezTo>
              <a:cubicBezTo>
                <a:pt x="378635" y="111998"/>
                <a:pt x="370323" y="110187"/>
                <a:pt x="364120" y="111738"/>
              </a:cubicBezTo>
              <a:cubicBezTo>
                <a:pt x="351175" y="90163"/>
                <a:pt x="339166" y="82983"/>
                <a:pt x="359468" y="55914"/>
              </a:cubicBezTo>
              <a:cubicBezTo>
                <a:pt x="363304" y="50799"/>
                <a:pt x="371873" y="52813"/>
                <a:pt x="378076" y="51262"/>
              </a:cubicBezTo>
              <a:cubicBezTo>
                <a:pt x="382728" y="55914"/>
                <a:pt x="388768" y="59506"/>
                <a:pt x="392032" y="65218"/>
              </a:cubicBezTo>
              <a:cubicBezTo>
                <a:pt x="396324" y="72729"/>
                <a:pt x="399894" y="89920"/>
                <a:pt x="392032" y="97782"/>
              </a:cubicBezTo>
              <a:cubicBezTo>
                <a:pt x="385638" y="104176"/>
                <a:pt x="376525" y="107086"/>
                <a:pt x="368772" y="111738"/>
              </a:cubicBezTo>
              <a:cubicBezTo>
                <a:pt x="330667" y="103270"/>
                <a:pt x="329336" y="112505"/>
                <a:pt x="312948" y="83826"/>
              </a:cubicBezTo>
              <a:cubicBezTo>
                <a:pt x="310515" y="79568"/>
                <a:pt x="309847" y="74522"/>
                <a:pt x="308296" y="69870"/>
              </a:cubicBezTo>
              <a:cubicBezTo>
                <a:pt x="309847" y="55914"/>
                <a:pt x="301101" y="35541"/>
                <a:pt x="312948" y="28002"/>
              </a:cubicBezTo>
              <a:cubicBezTo>
                <a:pt x="359168" y="-1411"/>
                <a:pt x="360393" y="41933"/>
                <a:pt x="364120" y="60566"/>
              </a:cubicBezTo>
              <a:cubicBezTo>
                <a:pt x="359468" y="76073"/>
                <a:pt x="357839" y="92832"/>
                <a:pt x="350164" y="107086"/>
              </a:cubicBezTo>
              <a:cubicBezTo>
                <a:pt x="334025" y="137059"/>
                <a:pt x="282627" y="114052"/>
                <a:pt x="266428" y="111738"/>
              </a:cubicBezTo>
              <a:cubicBezTo>
                <a:pt x="255022" y="100332"/>
                <a:pt x="241872" y="88936"/>
                <a:pt x="233864" y="74522"/>
              </a:cubicBezTo>
              <a:cubicBezTo>
                <a:pt x="229809" y="67222"/>
                <a:pt x="227661" y="59015"/>
                <a:pt x="224560" y="51262"/>
              </a:cubicBezTo>
              <a:cubicBezTo>
                <a:pt x="226111" y="41958"/>
                <a:pt x="223001" y="30449"/>
                <a:pt x="229212" y="23350"/>
              </a:cubicBezTo>
              <a:cubicBezTo>
                <a:pt x="243402" y="7132"/>
                <a:pt x="274386" y="16512"/>
                <a:pt x="289688" y="18698"/>
              </a:cubicBezTo>
              <a:cubicBezTo>
                <a:pt x="294340" y="21799"/>
                <a:pt x="300151" y="23636"/>
                <a:pt x="303644" y="28002"/>
              </a:cubicBezTo>
              <a:cubicBezTo>
                <a:pt x="310415" y="36466"/>
                <a:pt x="309872" y="58100"/>
                <a:pt x="303644" y="65218"/>
              </a:cubicBezTo>
              <a:cubicBezTo>
                <a:pt x="296794" y="73046"/>
                <a:pt x="285036" y="74522"/>
                <a:pt x="275732" y="79174"/>
              </a:cubicBezTo>
              <a:cubicBezTo>
                <a:pt x="231466" y="75485"/>
                <a:pt x="225137" y="89631"/>
                <a:pt x="210604" y="60566"/>
              </a:cubicBezTo>
              <a:cubicBezTo>
                <a:pt x="208411" y="56180"/>
                <a:pt x="207503" y="51262"/>
                <a:pt x="205952" y="46610"/>
              </a:cubicBezTo>
              <a:cubicBezTo>
                <a:pt x="207503" y="40407"/>
                <a:pt x="206443" y="32856"/>
                <a:pt x="210604" y="28002"/>
              </a:cubicBezTo>
              <a:cubicBezTo>
                <a:pt x="229677" y="5750"/>
                <a:pt x="245504" y="15501"/>
                <a:pt x="271080" y="18698"/>
              </a:cubicBezTo>
              <a:cubicBezTo>
                <a:pt x="272776" y="23786"/>
                <a:pt x="281033" y="47368"/>
                <a:pt x="280384" y="51262"/>
              </a:cubicBezTo>
              <a:cubicBezTo>
                <a:pt x="275907" y="78126"/>
                <a:pt x="272623" y="87706"/>
                <a:pt x="252472" y="97782"/>
              </a:cubicBezTo>
              <a:cubicBezTo>
                <a:pt x="248086" y="99975"/>
                <a:pt x="243168" y="100883"/>
                <a:pt x="238516" y="102434"/>
              </a:cubicBezTo>
              <a:cubicBezTo>
                <a:pt x="226111" y="100883"/>
                <a:pt x="213049" y="102054"/>
                <a:pt x="201300" y="97782"/>
              </a:cubicBezTo>
              <a:cubicBezTo>
                <a:pt x="194618" y="95352"/>
                <a:pt x="176258" y="69044"/>
                <a:pt x="173388" y="65218"/>
              </a:cubicBezTo>
              <a:cubicBezTo>
                <a:pt x="168756" y="46690"/>
                <a:pt x="158459" y="19655"/>
                <a:pt x="182692" y="4742"/>
              </a:cubicBezTo>
              <a:cubicBezTo>
                <a:pt x="195964" y="-3426"/>
                <a:pt x="213705" y="7843"/>
                <a:pt x="229212" y="9394"/>
              </a:cubicBezTo>
              <a:cubicBezTo>
                <a:pt x="232313" y="14046"/>
                <a:pt x="236016" y="18349"/>
                <a:pt x="238516" y="23350"/>
              </a:cubicBezTo>
              <a:cubicBezTo>
                <a:pt x="243984" y="34287"/>
                <a:pt x="246845" y="49461"/>
                <a:pt x="238516" y="60566"/>
              </a:cubicBezTo>
              <a:cubicBezTo>
                <a:pt x="233091" y="67799"/>
                <a:pt x="223009" y="69870"/>
                <a:pt x="215256" y="74522"/>
              </a:cubicBezTo>
              <a:cubicBezTo>
                <a:pt x="182175" y="70387"/>
                <a:pt x="180644" y="79731"/>
                <a:pt x="168736" y="55914"/>
              </a:cubicBezTo>
              <a:cubicBezTo>
                <a:pt x="166543" y="51528"/>
                <a:pt x="165635" y="46610"/>
                <a:pt x="164084" y="41958"/>
              </a:cubicBezTo>
              <a:cubicBezTo>
                <a:pt x="167185" y="31103"/>
                <a:pt x="163520" y="14876"/>
                <a:pt x="173388" y="9394"/>
              </a:cubicBezTo>
              <a:cubicBezTo>
                <a:pt x="201846" y="-6416"/>
                <a:pt x="206213" y="19482"/>
                <a:pt x="210604" y="32654"/>
              </a:cubicBezTo>
              <a:cubicBezTo>
                <a:pt x="209053" y="46610"/>
                <a:pt x="211763" y="61739"/>
                <a:pt x="205952" y="74522"/>
              </a:cubicBezTo>
              <a:cubicBezTo>
                <a:pt x="198334" y="91282"/>
                <a:pt x="167762" y="80562"/>
                <a:pt x="159432" y="79174"/>
              </a:cubicBezTo>
              <a:cubicBezTo>
                <a:pt x="156331" y="74522"/>
                <a:pt x="152330" y="70357"/>
                <a:pt x="150128" y="65218"/>
              </a:cubicBezTo>
              <a:cubicBezTo>
                <a:pt x="140627" y="43048"/>
                <a:pt x="147448" y="39709"/>
                <a:pt x="154780" y="14046"/>
              </a:cubicBezTo>
              <a:cubicBezTo>
                <a:pt x="168736" y="17147"/>
                <a:pt x="189870" y="10762"/>
                <a:pt x="196648" y="23350"/>
              </a:cubicBezTo>
              <a:cubicBezTo>
                <a:pt x="222679" y="71693"/>
                <a:pt x="190711" y="73680"/>
                <a:pt x="168736" y="79174"/>
              </a:cubicBezTo>
              <a:cubicBezTo>
                <a:pt x="159432" y="76073"/>
                <a:pt x="149141" y="75068"/>
                <a:pt x="140824" y="69870"/>
              </a:cubicBezTo>
              <a:cubicBezTo>
                <a:pt x="131305" y="63921"/>
                <a:pt x="129066" y="46099"/>
                <a:pt x="126868" y="37306"/>
              </a:cubicBezTo>
              <a:cubicBezTo>
                <a:pt x="128419" y="32654"/>
                <a:pt x="127691" y="26413"/>
                <a:pt x="131520" y="23350"/>
              </a:cubicBezTo>
              <a:cubicBezTo>
                <a:pt x="143981" y="13381"/>
                <a:pt x="179520" y="22372"/>
                <a:pt x="187344" y="23350"/>
              </a:cubicBezTo>
              <a:cubicBezTo>
                <a:pt x="190445" y="28002"/>
                <a:pt x="196648" y="31715"/>
                <a:pt x="196648" y="37306"/>
              </a:cubicBezTo>
              <a:cubicBezTo>
                <a:pt x="196648" y="64936"/>
                <a:pt x="195626" y="87609"/>
                <a:pt x="173388" y="102434"/>
              </a:cubicBezTo>
              <a:cubicBezTo>
                <a:pt x="169308" y="105154"/>
                <a:pt x="164084" y="105535"/>
                <a:pt x="159432" y="107086"/>
              </a:cubicBezTo>
              <a:cubicBezTo>
                <a:pt x="145476" y="103985"/>
                <a:pt x="130545" y="103773"/>
                <a:pt x="117564" y="97782"/>
              </a:cubicBezTo>
              <a:cubicBezTo>
                <a:pt x="106703" y="92769"/>
                <a:pt x="96364" y="75287"/>
                <a:pt x="89651" y="65218"/>
              </a:cubicBezTo>
              <a:cubicBezTo>
                <a:pt x="91202" y="54363"/>
                <a:pt x="88491" y="41952"/>
                <a:pt x="94303" y="32654"/>
              </a:cubicBezTo>
              <a:cubicBezTo>
                <a:pt x="97692" y="27232"/>
                <a:pt x="106537" y="27512"/>
                <a:pt x="112912" y="28002"/>
              </a:cubicBezTo>
              <a:cubicBezTo>
                <a:pt x="127166" y="29098"/>
                <a:pt x="140824" y="34205"/>
                <a:pt x="154780" y="37306"/>
              </a:cubicBezTo>
              <a:cubicBezTo>
                <a:pt x="170837" y="61392"/>
                <a:pt x="173006" y="58318"/>
                <a:pt x="159432" y="102434"/>
              </a:cubicBezTo>
              <a:cubicBezTo>
                <a:pt x="157371" y="109133"/>
                <a:pt x="136769" y="114640"/>
                <a:pt x="131520" y="116390"/>
              </a:cubicBezTo>
              <a:cubicBezTo>
                <a:pt x="120665" y="114839"/>
                <a:pt x="109137" y="115810"/>
                <a:pt x="98956" y="111738"/>
              </a:cubicBezTo>
              <a:cubicBezTo>
                <a:pt x="92847" y="109295"/>
                <a:pt x="89211" y="102836"/>
                <a:pt x="84999" y="97782"/>
              </a:cubicBezTo>
              <a:cubicBezTo>
                <a:pt x="74979" y="85759"/>
                <a:pt x="75705" y="83856"/>
                <a:pt x="71043" y="69870"/>
              </a:cubicBezTo>
              <a:cubicBezTo>
                <a:pt x="74144" y="60566"/>
                <a:pt x="71419" y="46016"/>
                <a:pt x="80347" y="41958"/>
              </a:cubicBezTo>
              <a:cubicBezTo>
                <a:pt x="117641" y="25006"/>
                <a:pt x="123724" y="49123"/>
                <a:pt x="136172" y="69870"/>
              </a:cubicBezTo>
              <a:cubicBezTo>
                <a:pt x="134621" y="82275"/>
                <a:pt x="136597" y="95662"/>
                <a:pt x="131520" y="107086"/>
              </a:cubicBezTo>
              <a:cubicBezTo>
                <a:pt x="129528" y="111567"/>
                <a:pt x="122401" y="112544"/>
                <a:pt x="117564" y="111738"/>
              </a:cubicBezTo>
              <a:cubicBezTo>
                <a:pt x="103053" y="109320"/>
                <a:pt x="89651" y="102434"/>
                <a:pt x="75695" y="97782"/>
              </a:cubicBezTo>
              <a:cubicBezTo>
                <a:pt x="69492" y="93130"/>
                <a:pt x="62569" y="89308"/>
                <a:pt x="57087" y="83826"/>
              </a:cubicBezTo>
              <a:cubicBezTo>
                <a:pt x="48069" y="74808"/>
                <a:pt x="46915" y="67265"/>
                <a:pt x="43131" y="55914"/>
              </a:cubicBezTo>
              <a:cubicBezTo>
                <a:pt x="46232" y="51262"/>
                <a:pt x="46887" y="42651"/>
                <a:pt x="52435" y="41958"/>
              </a:cubicBezTo>
              <a:cubicBezTo>
                <a:pt x="84681" y="37927"/>
                <a:pt x="80977" y="54412"/>
                <a:pt x="84999" y="74522"/>
              </a:cubicBezTo>
              <a:cubicBezTo>
                <a:pt x="81898" y="82275"/>
                <a:pt x="83448" y="94681"/>
                <a:pt x="75695" y="97782"/>
              </a:cubicBezTo>
              <a:cubicBezTo>
                <a:pt x="39243" y="112363"/>
                <a:pt x="39829" y="93167"/>
                <a:pt x="29175" y="74522"/>
              </a:cubicBezTo>
              <a:cubicBezTo>
                <a:pt x="26401" y="69668"/>
                <a:pt x="22972" y="65218"/>
                <a:pt x="19871" y="60566"/>
              </a:cubicBezTo>
              <a:cubicBezTo>
                <a:pt x="21422" y="51262"/>
                <a:pt x="16086" y="36872"/>
                <a:pt x="24523" y="32654"/>
              </a:cubicBezTo>
              <a:cubicBezTo>
                <a:pt x="51769" y="19031"/>
                <a:pt x="66636" y="33145"/>
                <a:pt x="75695" y="51262"/>
              </a:cubicBezTo>
              <a:cubicBezTo>
                <a:pt x="77888" y="55648"/>
                <a:pt x="78796" y="60566"/>
                <a:pt x="80347" y="65218"/>
              </a:cubicBezTo>
              <a:cubicBezTo>
                <a:pt x="77246" y="76073"/>
                <a:pt x="77026" y="88209"/>
                <a:pt x="71043" y="97782"/>
              </a:cubicBezTo>
              <a:cubicBezTo>
                <a:pt x="64685" y="107954"/>
                <a:pt x="37548" y="98526"/>
                <a:pt x="33827" y="97782"/>
              </a:cubicBezTo>
              <a:cubicBezTo>
                <a:pt x="26095" y="90050"/>
                <a:pt x="5915" y="72127"/>
                <a:pt x="5915" y="60566"/>
              </a:cubicBezTo>
              <a:cubicBezTo>
                <a:pt x="5915" y="51524"/>
                <a:pt x="15219" y="45059"/>
                <a:pt x="19871" y="37306"/>
              </a:cubicBezTo>
              <a:cubicBezTo>
                <a:pt x="30726" y="38857"/>
                <a:pt x="43137" y="36147"/>
                <a:pt x="52435" y="41958"/>
              </a:cubicBezTo>
              <a:cubicBezTo>
                <a:pt x="57857" y="45347"/>
                <a:pt x="57618" y="54195"/>
                <a:pt x="57087" y="60566"/>
              </a:cubicBezTo>
              <a:cubicBezTo>
                <a:pt x="53623" y="102137"/>
                <a:pt x="56493" y="95604"/>
                <a:pt x="29175" y="102434"/>
              </a:cubicBezTo>
              <a:cubicBezTo>
                <a:pt x="21137" y="96406"/>
                <a:pt x="3853" y="88959"/>
                <a:pt x="5915" y="74522"/>
              </a:cubicBezTo>
              <a:cubicBezTo>
                <a:pt x="6896" y="67657"/>
                <a:pt x="12118" y="62117"/>
                <a:pt x="15219" y="55914"/>
              </a:cubicBezTo>
              <a:cubicBezTo>
                <a:pt x="22972" y="59015"/>
                <a:pt x="32574" y="59313"/>
                <a:pt x="38479" y="65218"/>
              </a:cubicBezTo>
              <a:cubicBezTo>
                <a:pt x="45371" y="72110"/>
                <a:pt x="43992" y="95542"/>
                <a:pt x="38479" y="102434"/>
              </a:cubicBezTo>
              <a:cubicBezTo>
                <a:pt x="35416" y="106263"/>
                <a:pt x="29175" y="105535"/>
                <a:pt x="24523" y="107086"/>
              </a:cubicBezTo>
              <a:cubicBezTo>
                <a:pt x="13937" y="101793"/>
                <a:pt x="-5071" y="98176"/>
                <a:pt x="1263" y="79174"/>
              </a:cubicBezTo>
              <a:cubicBezTo>
                <a:pt x="3031" y="73870"/>
                <a:pt x="10567" y="72971"/>
                <a:pt x="15219" y="69870"/>
              </a:cubicBezTo>
              <a:lnTo>
                <a:pt x="57087" y="79174"/>
              </a:ln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116301</xdr:colOff>
      <xdr:row>759</xdr:row>
      <xdr:rowOff>65129</xdr:rowOff>
    </xdr:from>
    <xdr:to>
      <xdr:col>2</xdr:col>
      <xdr:colOff>251210</xdr:colOff>
      <xdr:row>759</xdr:row>
      <xdr:rowOff>190733</xdr:rowOff>
    </xdr:to>
    <xdr:sp macro="" textlink="">
      <xdr:nvSpPr>
        <xdr:cNvPr id="16" name="Rectangle 15">
          <a:extLst>
            <a:ext uri="{FF2B5EF4-FFF2-40B4-BE49-F238E27FC236}">
              <a16:creationId xmlns:a16="http://schemas.microsoft.com/office/drawing/2014/main" id="{5694EF85-96A6-664C-BAFF-5F2A88A31406}"/>
            </a:ext>
          </a:extLst>
        </xdr:cNvPr>
        <xdr:cNvSpPr/>
      </xdr:nvSpPr>
      <xdr:spPr>
        <a:xfrm>
          <a:off x="13523127890" y="33313729"/>
          <a:ext cx="134909"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781539</xdr:colOff>
      <xdr:row>759</xdr:row>
      <xdr:rowOff>60477</xdr:rowOff>
    </xdr:from>
    <xdr:to>
      <xdr:col>2</xdr:col>
      <xdr:colOff>93042</xdr:colOff>
      <xdr:row>759</xdr:row>
      <xdr:rowOff>186081</xdr:rowOff>
    </xdr:to>
    <xdr:sp macro="" textlink="">
      <xdr:nvSpPr>
        <xdr:cNvPr id="17" name="Rectangle 16">
          <a:extLst>
            <a:ext uri="{FF2B5EF4-FFF2-40B4-BE49-F238E27FC236}">
              <a16:creationId xmlns:a16="http://schemas.microsoft.com/office/drawing/2014/main" id="{93D84CDC-A778-4E43-99A1-AF1714A0A42B}"/>
            </a:ext>
          </a:extLst>
        </xdr:cNvPr>
        <xdr:cNvSpPr/>
      </xdr:nvSpPr>
      <xdr:spPr>
        <a:xfrm>
          <a:off x="13523286058" y="33309077"/>
          <a:ext cx="137003"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246558</xdr:colOff>
      <xdr:row>759</xdr:row>
      <xdr:rowOff>60477</xdr:rowOff>
    </xdr:from>
    <xdr:to>
      <xdr:col>2</xdr:col>
      <xdr:colOff>382880</xdr:colOff>
      <xdr:row>759</xdr:row>
      <xdr:rowOff>139561</xdr:rowOff>
    </xdr:to>
    <xdr:sp macro="" textlink="">
      <xdr:nvSpPr>
        <xdr:cNvPr id="18" name="Freeform 17">
          <a:extLst>
            <a:ext uri="{FF2B5EF4-FFF2-40B4-BE49-F238E27FC236}">
              <a16:creationId xmlns:a16="http://schemas.microsoft.com/office/drawing/2014/main" id="{6D11859A-61CF-CB49-B749-095D97939A93}"/>
            </a:ext>
          </a:extLst>
        </xdr:cNvPr>
        <xdr:cNvSpPr/>
      </xdr:nvSpPr>
      <xdr:spPr>
        <a:xfrm>
          <a:off x="13522996220" y="33309077"/>
          <a:ext cx="136322" cy="79084"/>
        </a:xfrm>
        <a:custGeom>
          <a:avLst/>
          <a:gdLst>
            <a:gd name="connsiteX0" fmla="*/ 136322 w 136322"/>
            <a:gd name="connsiteY0" fmla="*/ 74432 h 79084"/>
            <a:gd name="connsiteX1" fmla="*/ 75846 w 136322"/>
            <a:gd name="connsiteY1" fmla="*/ 23260 h 79084"/>
            <a:gd name="connsiteX2" fmla="*/ 61890 w 136322"/>
            <a:gd name="connsiteY2" fmla="*/ 13956 h 79084"/>
            <a:gd name="connsiteX3" fmla="*/ 43282 w 136322"/>
            <a:gd name="connsiteY3" fmla="*/ 9304 h 79084"/>
            <a:gd name="connsiteX4" fmla="*/ 15370 w 136322"/>
            <a:gd name="connsiteY4" fmla="*/ 0 h 79084"/>
            <a:gd name="connsiteX5" fmla="*/ 1414 w 136322"/>
            <a:gd name="connsiteY5" fmla="*/ 9304 h 79084"/>
            <a:gd name="connsiteX6" fmla="*/ 24674 w 136322"/>
            <a:gd name="connsiteY6" fmla="*/ 69780 h 79084"/>
            <a:gd name="connsiteX7" fmla="*/ 29326 w 136322"/>
            <a:gd name="connsiteY7" fmla="*/ 79084 h 790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36322" h="79084">
              <a:moveTo>
                <a:pt x="136322" y="74432"/>
              </a:moveTo>
              <a:cubicBezTo>
                <a:pt x="95851" y="33961"/>
                <a:pt x="116531" y="50383"/>
                <a:pt x="75846" y="23260"/>
              </a:cubicBezTo>
              <a:cubicBezTo>
                <a:pt x="71194" y="20159"/>
                <a:pt x="67314" y="15312"/>
                <a:pt x="61890" y="13956"/>
              </a:cubicBezTo>
              <a:cubicBezTo>
                <a:pt x="55687" y="12405"/>
                <a:pt x="49406" y="11141"/>
                <a:pt x="43282" y="9304"/>
              </a:cubicBezTo>
              <a:cubicBezTo>
                <a:pt x="33888" y="6486"/>
                <a:pt x="15370" y="0"/>
                <a:pt x="15370" y="0"/>
              </a:cubicBezTo>
              <a:cubicBezTo>
                <a:pt x="10718" y="3101"/>
                <a:pt x="2627" y="3846"/>
                <a:pt x="1414" y="9304"/>
              </a:cubicBezTo>
              <a:cubicBezTo>
                <a:pt x="-5243" y="39262"/>
                <a:pt x="13130" y="46691"/>
                <a:pt x="24674" y="69780"/>
              </a:cubicBezTo>
              <a:lnTo>
                <a:pt x="29326" y="7908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674522</xdr:colOff>
      <xdr:row>759</xdr:row>
      <xdr:rowOff>65129</xdr:rowOff>
    </xdr:from>
    <xdr:to>
      <xdr:col>1</xdr:col>
      <xdr:colOff>786191</xdr:colOff>
      <xdr:row>759</xdr:row>
      <xdr:rowOff>148865</xdr:rowOff>
    </xdr:to>
    <xdr:sp macro="" textlink="">
      <xdr:nvSpPr>
        <xdr:cNvPr id="19" name="Freeform 18">
          <a:extLst>
            <a:ext uri="{FF2B5EF4-FFF2-40B4-BE49-F238E27FC236}">
              <a16:creationId xmlns:a16="http://schemas.microsoft.com/office/drawing/2014/main" id="{E357475B-9CB0-6F45-A39F-50635590A4B4}"/>
            </a:ext>
          </a:extLst>
        </xdr:cNvPr>
        <xdr:cNvSpPr/>
      </xdr:nvSpPr>
      <xdr:spPr>
        <a:xfrm>
          <a:off x="13523418409" y="33313729"/>
          <a:ext cx="111669" cy="83736"/>
        </a:xfrm>
        <a:custGeom>
          <a:avLst/>
          <a:gdLst>
            <a:gd name="connsiteX0" fmla="*/ 0 w 111669"/>
            <a:gd name="connsiteY0" fmla="*/ 41868 h 83736"/>
            <a:gd name="connsiteX1" fmla="*/ 32564 w 111669"/>
            <a:gd name="connsiteY1" fmla="*/ 32564 h 83736"/>
            <a:gd name="connsiteX2" fmla="*/ 46520 w 111669"/>
            <a:gd name="connsiteY2" fmla="*/ 23260 h 83736"/>
            <a:gd name="connsiteX3" fmla="*/ 65128 w 111669"/>
            <a:gd name="connsiteY3" fmla="*/ 13956 h 83736"/>
            <a:gd name="connsiteX4" fmla="*/ 93041 w 111669"/>
            <a:gd name="connsiteY4" fmla="*/ 0 h 83736"/>
            <a:gd name="connsiteX5" fmla="*/ 106997 w 111669"/>
            <a:gd name="connsiteY5" fmla="*/ 4652 h 83736"/>
            <a:gd name="connsiteX6" fmla="*/ 106997 w 111669"/>
            <a:gd name="connsiteY6" fmla="*/ 37216 h 83736"/>
            <a:gd name="connsiteX7" fmla="*/ 88389 w 111669"/>
            <a:gd name="connsiteY7" fmla="*/ 46520 h 83736"/>
            <a:gd name="connsiteX8" fmla="*/ 65128 w 111669"/>
            <a:gd name="connsiteY8" fmla="*/ 69780 h 83736"/>
            <a:gd name="connsiteX9" fmla="*/ 55824 w 111669"/>
            <a:gd name="connsiteY9" fmla="*/ 83736 h 837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111669" h="83736">
              <a:moveTo>
                <a:pt x="0" y="41868"/>
              </a:moveTo>
              <a:cubicBezTo>
                <a:pt x="10855" y="38767"/>
                <a:pt x="22082" y="36757"/>
                <a:pt x="32564" y="32564"/>
              </a:cubicBezTo>
              <a:cubicBezTo>
                <a:pt x="37755" y="30488"/>
                <a:pt x="41666" y="26034"/>
                <a:pt x="46520" y="23260"/>
              </a:cubicBezTo>
              <a:cubicBezTo>
                <a:pt x="52541" y="19819"/>
                <a:pt x="59107" y="17397"/>
                <a:pt x="65128" y="13956"/>
              </a:cubicBezTo>
              <a:cubicBezTo>
                <a:pt x="90378" y="-473"/>
                <a:pt x="67453" y="8529"/>
                <a:pt x="93041" y="0"/>
              </a:cubicBezTo>
              <a:cubicBezTo>
                <a:pt x="97693" y="1551"/>
                <a:pt x="103530" y="1185"/>
                <a:pt x="106997" y="4652"/>
              </a:cubicBezTo>
              <a:cubicBezTo>
                <a:pt x="114036" y="11691"/>
                <a:pt x="112362" y="30778"/>
                <a:pt x="106997" y="37216"/>
              </a:cubicBezTo>
              <a:cubicBezTo>
                <a:pt x="102557" y="42543"/>
                <a:pt x="93863" y="42263"/>
                <a:pt x="88389" y="46520"/>
              </a:cubicBezTo>
              <a:cubicBezTo>
                <a:pt x="79734" y="53252"/>
                <a:pt x="71210" y="60656"/>
                <a:pt x="65128" y="69780"/>
              </a:cubicBezTo>
              <a:lnTo>
                <a:pt x="55824" y="8373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800455</xdr:colOff>
      <xdr:row>766</xdr:row>
      <xdr:rowOff>204688</xdr:rowOff>
    </xdr:from>
    <xdr:to>
      <xdr:col>1</xdr:col>
      <xdr:colOff>136311</xdr:colOff>
      <xdr:row>767</xdr:row>
      <xdr:rowOff>160293</xdr:rowOff>
    </xdr:to>
    <xdr:sp macro="" textlink="">
      <xdr:nvSpPr>
        <xdr:cNvPr id="20" name="Freeform 19">
          <a:extLst>
            <a:ext uri="{FF2B5EF4-FFF2-40B4-BE49-F238E27FC236}">
              <a16:creationId xmlns:a16="http://schemas.microsoft.com/office/drawing/2014/main" id="{EBA954DD-B9AE-3D41-82AA-285DF4125E3E}"/>
            </a:ext>
          </a:extLst>
        </xdr:cNvPr>
        <xdr:cNvSpPr/>
      </xdr:nvSpPr>
      <xdr:spPr>
        <a:xfrm>
          <a:off x="13524068289" y="34875688"/>
          <a:ext cx="161356"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466605</xdr:colOff>
      <xdr:row>766</xdr:row>
      <xdr:rowOff>181428</xdr:rowOff>
    </xdr:from>
    <xdr:to>
      <xdr:col>2</xdr:col>
      <xdr:colOff>625868</xdr:colOff>
      <xdr:row>767</xdr:row>
      <xdr:rowOff>137033</xdr:rowOff>
    </xdr:to>
    <xdr:sp macro="" textlink="">
      <xdr:nvSpPr>
        <xdr:cNvPr id="21" name="Freeform 20">
          <a:extLst>
            <a:ext uri="{FF2B5EF4-FFF2-40B4-BE49-F238E27FC236}">
              <a16:creationId xmlns:a16="http://schemas.microsoft.com/office/drawing/2014/main" id="{6312F622-2FD4-8940-B16A-3DD11AA5AA57}"/>
            </a:ext>
          </a:extLst>
        </xdr:cNvPr>
        <xdr:cNvSpPr/>
      </xdr:nvSpPr>
      <xdr:spPr>
        <a:xfrm>
          <a:off x="13522753232" y="34852428"/>
          <a:ext cx="159263"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693150</xdr:colOff>
      <xdr:row>758</xdr:row>
      <xdr:rowOff>153516</xdr:rowOff>
    </xdr:from>
    <xdr:to>
      <xdr:col>8</xdr:col>
      <xdr:colOff>334946</xdr:colOff>
      <xdr:row>761</xdr:row>
      <xdr:rowOff>23260</xdr:rowOff>
    </xdr:to>
    <xdr:sp macro="" textlink="">
      <xdr:nvSpPr>
        <xdr:cNvPr id="22" name="Smiley Face 21">
          <a:extLst>
            <a:ext uri="{FF2B5EF4-FFF2-40B4-BE49-F238E27FC236}">
              <a16:creationId xmlns:a16="http://schemas.microsoft.com/office/drawing/2014/main" id="{C2767C85-B236-EF44-9D67-581925219B6C}"/>
            </a:ext>
          </a:extLst>
        </xdr:cNvPr>
        <xdr:cNvSpPr/>
      </xdr:nvSpPr>
      <xdr:spPr>
        <a:xfrm>
          <a:off x="13518053054" y="33198916"/>
          <a:ext cx="505396" cy="479344"/>
        </a:xfrm>
        <a:prstGeom prst="smileyFace">
          <a:avLst>
            <a:gd name="adj" fmla="val 155"/>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460551</xdr:colOff>
      <xdr:row>761</xdr:row>
      <xdr:rowOff>60475</xdr:rowOff>
    </xdr:from>
    <xdr:to>
      <xdr:col>8</xdr:col>
      <xdr:colOff>655936</xdr:colOff>
      <xdr:row>765</xdr:row>
      <xdr:rowOff>190732</xdr:rowOff>
    </xdr:to>
    <xdr:sp macro="" textlink="">
      <xdr:nvSpPr>
        <xdr:cNvPr id="23" name="Triangle 22">
          <a:extLst>
            <a:ext uri="{FF2B5EF4-FFF2-40B4-BE49-F238E27FC236}">
              <a16:creationId xmlns:a16="http://schemas.microsoft.com/office/drawing/2014/main" id="{E2776ED7-291B-CA45-8E81-28DD878329E6}"/>
            </a:ext>
          </a:extLst>
        </xdr:cNvPr>
        <xdr:cNvSpPr/>
      </xdr:nvSpPr>
      <xdr:spPr>
        <a:xfrm rot="10800000">
          <a:off x="13517732064" y="33715475"/>
          <a:ext cx="1058985" cy="943057"/>
        </a:xfrm>
        <a:prstGeom prst="triangl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427986</xdr:colOff>
      <xdr:row>760</xdr:row>
      <xdr:rowOff>69576</xdr:rowOff>
    </xdr:from>
    <xdr:to>
      <xdr:col>9</xdr:col>
      <xdr:colOff>297729</xdr:colOff>
      <xdr:row>762</xdr:row>
      <xdr:rowOff>215</xdr:rowOff>
    </xdr:to>
    <xdr:sp macro="" textlink="">
      <xdr:nvSpPr>
        <xdr:cNvPr id="24" name="Freeform 23">
          <a:extLst>
            <a:ext uri="{FF2B5EF4-FFF2-40B4-BE49-F238E27FC236}">
              <a16:creationId xmlns:a16="http://schemas.microsoft.com/office/drawing/2014/main" id="{16180FD8-BF3C-744E-B36B-56E09D145224}"/>
            </a:ext>
          </a:extLst>
        </xdr:cNvPr>
        <xdr:cNvSpPr/>
      </xdr:nvSpPr>
      <xdr:spPr>
        <a:xfrm>
          <a:off x="13517264771" y="33521376"/>
          <a:ext cx="695243" cy="337039"/>
        </a:xfrm>
        <a:custGeom>
          <a:avLst/>
          <a:gdLst>
            <a:gd name="connsiteX0" fmla="*/ 693150 w 693150"/>
            <a:gd name="connsiteY0" fmla="*/ 330497 h 340016"/>
            <a:gd name="connsiteX1" fmla="*/ 660586 w 693150"/>
            <a:gd name="connsiteY1" fmla="*/ 339801 h 340016"/>
            <a:gd name="connsiteX2" fmla="*/ 539633 w 693150"/>
            <a:gd name="connsiteY2" fmla="*/ 330497 h 340016"/>
            <a:gd name="connsiteX3" fmla="*/ 474505 w 693150"/>
            <a:gd name="connsiteY3" fmla="*/ 321193 h 340016"/>
            <a:gd name="connsiteX4" fmla="*/ 455897 w 693150"/>
            <a:gd name="connsiteY4" fmla="*/ 316541 h 340016"/>
            <a:gd name="connsiteX5" fmla="*/ 441941 w 693150"/>
            <a:gd name="connsiteY5" fmla="*/ 311889 h 340016"/>
            <a:gd name="connsiteX6" fmla="*/ 334945 w 693150"/>
            <a:gd name="connsiteY6" fmla="*/ 297933 h 340016"/>
            <a:gd name="connsiteX7" fmla="*/ 302381 w 693150"/>
            <a:gd name="connsiteY7" fmla="*/ 288629 h 340016"/>
            <a:gd name="connsiteX8" fmla="*/ 283772 w 693150"/>
            <a:gd name="connsiteY8" fmla="*/ 283977 h 340016"/>
            <a:gd name="connsiteX9" fmla="*/ 265164 w 693150"/>
            <a:gd name="connsiteY9" fmla="*/ 274673 h 340016"/>
            <a:gd name="connsiteX10" fmla="*/ 251208 w 693150"/>
            <a:gd name="connsiteY10" fmla="*/ 265369 h 340016"/>
            <a:gd name="connsiteX11" fmla="*/ 237252 w 693150"/>
            <a:gd name="connsiteY11" fmla="*/ 260717 h 340016"/>
            <a:gd name="connsiteX12" fmla="*/ 213992 w 693150"/>
            <a:gd name="connsiteY12" fmla="*/ 232805 h 340016"/>
            <a:gd name="connsiteX13" fmla="*/ 204688 w 693150"/>
            <a:gd name="connsiteY13" fmla="*/ 204893 h 340016"/>
            <a:gd name="connsiteX14" fmla="*/ 200036 w 693150"/>
            <a:gd name="connsiteY14" fmla="*/ 190937 h 340016"/>
            <a:gd name="connsiteX15" fmla="*/ 186080 w 693150"/>
            <a:gd name="connsiteY15" fmla="*/ 176981 h 340016"/>
            <a:gd name="connsiteX16" fmla="*/ 167472 w 693150"/>
            <a:gd name="connsiteY16" fmla="*/ 158373 h 340016"/>
            <a:gd name="connsiteX17" fmla="*/ 153516 w 693150"/>
            <a:gd name="connsiteY17" fmla="*/ 144417 h 340016"/>
            <a:gd name="connsiteX18" fmla="*/ 139560 w 693150"/>
            <a:gd name="connsiteY18" fmla="*/ 135113 h 340016"/>
            <a:gd name="connsiteX19" fmla="*/ 125604 w 693150"/>
            <a:gd name="connsiteY19" fmla="*/ 121157 h 340016"/>
            <a:gd name="connsiteX20" fmla="*/ 111648 w 693150"/>
            <a:gd name="connsiteY20" fmla="*/ 111853 h 340016"/>
            <a:gd name="connsiteX21" fmla="*/ 93040 w 693150"/>
            <a:gd name="connsiteY21" fmla="*/ 97897 h 340016"/>
            <a:gd name="connsiteX22" fmla="*/ 83736 w 693150"/>
            <a:gd name="connsiteY22" fmla="*/ 88592 h 340016"/>
            <a:gd name="connsiteX23" fmla="*/ 51172 w 693150"/>
            <a:gd name="connsiteY23" fmla="*/ 65332 h 340016"/>
            <a:gd name="connsiteX24" fmla="*/ 41868 w 693150"/>
            <a:gd name="connsiteY24" fmla="*/ 51376 h 340016"/>
            <a:gd name="connsiteX25" fmla="*/ 27912 w 693150"/>
            <a:gd name="connsiteY25" fmla="*/ 42072 h 340016"/>
            <a:gd name="connsiteX26" fmla="*/ 23260 w 693150"/>
            <a:gd name="connsiteY26" fmla="*/ 28116 h 340016"/>
            <a:gd name="connsiteX27" fmla="*/ 9304 w 693150"/>
            <a:gd name="connsiteY27" fmla="*/ 14160 h 340016"/>
            <a:gd name="connsiteX28" fmla="*/ 0 w 693150"/>
            <a:gd name="connsiteY28" fmla="*/ 4856 h 34001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Lst>
          <a:rect l="l" t="t" r="r" b="b"/>
          <a:pathLst>
            <a:path w="693150" h="340016">
              <a:moveTo>
                <a:pt x="693150" y="330497"/>
              </a:moveTo>
              <a:cubicBezTo>
                <a:pt x="682295" y="333598"/>
                <a:pt x="671866" y="339350"/>
                <a:pt x="660586" y="339801"/>
              </a:cubicBezTo>
              <a:cubicBezTo>
                <a:pt x="625857" y="341190"/>
                <a:pt x="577089" y="335605"/>
                <a:pt x="539633" y="330497"/>
              </a:cubicBezTo>
              <a:cubicBezTo>
                <a:pt x="517904" y="327534"/>
                <a:pt x="495780" y="326512"/>
                <a:pt x="474505" y="321193"/>
              </a:cubicBezTo>
              <a:cubicBezTo>
                <a:pt x="468302" y="319642"/>
                <a:pt x="462045" y="318297"/>
                <a:pt x="455897" y="316541"/>
              </a:cubicBezTo>
              <a:cubicBezTo>
                <a:pt x="451182" y="315194"/>
                <a:pt x="446749" y="312851"/>
                <a:pt x="441941" y="311889"/>
              </a:cubicBezTo>
              <a:cubicBezTo>
                <a:pt x="412650" y="306031"/>
                <a:pt x="356350" y="303284"/>
                <a:pt x="334945" y="297933"/>
              </a:cubicBezTo>
              <a:cubicBezTo>
                <a:pt x="276758" y="283386"/>
                <a:pt x="349109" y="301980"/>
                <a:pt x="302381" y="288629"/>
              </a:cubicBezTo>
              <a:cubicBezTo>
                <a:pt x="296233" y="286873"/>
                <a:pt x="289975" y="285528"/>
                <a:pt x="283772" y="283977"/>
              </a:cubicBezTo>
              <a:cubicBezTo>
                <a:pt x="277569" y="280876"/>
                <a:pt x="271185" y="278114"/>
                <a:pt x="265164" y="274673"/>
              </a:cubicBezTo>
              <a:cubicBezTo>
                <a:pt x="260310" y="271899"/>
                <a:pt x="256209" y="267869"/>
                <a:pt x="251208" y="265369"/>
              </a:cubicBezTo>
              <a:cubicBezTo>
                <a:pt x="246822" y="263176"/>
                <a:pt x="241904" y="262268"/>
                <a:pt x="237252" y="260717"/>
              </a:cubicBezTo>
              <a:cubicBezTo>
                <a:pt x="228488" y="251953"/>
                <a:pt x="219173" y="244463"/>
                <a:pt x="213992" y="232805"/>
              </a:cubicBezTo>
              <a:cubicBezTo>
                <a:pt x="210009" y="223843"/>
                <a:pt x="207789" y="214197"/>
                <a:pt x="204688" y="204893"/>
              </a:cubicBezTo>
              <a:cubicBezTo>
                <a:pt x="203137" y="200241"/>
                <a:pt x="203503" y="194404"/>
                <a:pt x="200036" y="190937"/>
              </a:cubicBezTo>
              <a:lnTo>
                <a:pt x="186080" y="176981"/>
              </a:lnTo>
              <a:cubicBezTo>
                <a:pt x="177219" y="150398"/>
                <a:pt x="188738" y="172551"/>
                <a:pt x="167472" y="158373"/>
              </a:cubicBezTo>
              <a:cubicBezTo>
                <a:pt x="161998" y="154724"/>
                <a:pt x="158570" y="148629"/>
                <a:pt x="153516" y="144417"/>
              </a:cubicBezTo>
              <a:cubicBezTo>
                <a:pt x="149221" y="140838"/>
                <a:pt x="143855" y="138692"/>
                <a:pt x="139560" y="135113"/>
              </a:cubicBezTo>
              <a:cubicBezTo>
                <a:pt x="134506" y="130901"/>
                <a:pt x="130658" y="125369"/>
                <a:pt x="125604" y="121157"/>
              </a:cubicBezTo>
              <a:cubicBezTo>
                <a:pt x="121309" y="117578"/>
                <a:pt x="116198" y="115103"/>
                <a:pt x="111648" y="111853"/>
              </a:cubicBezTo>
              <a:cubicBezTo>
                <a:pt x="105339" y="107346"/>
                <a:pt x="98996" y="102861"/>
                <a:pt x="93040" y="97897"/>
              </a:cubicBezTo>
              <a:cubicBezTo>
                <a:pt x="89670" y="95089"/>
                <a:pt x="87106" y="91400"/>
                <a:pt x="83736" y="88592"/>
              </a:cubicBezTo>
              <a:cubicBezTo>
                <a:pt x="72198" y="78977"/>
                <a:pt x="63255" y="73388"/>
                <a:pt x="51172" y="65332"/>
              </a:cubicBezTo>
              <a:cubicBezTo>
                <a:pt x="48071" y="60680"/>
                <a:pt x="45821" y="55329"/>
                <a:pt x="41868" y="51376"/>
              </a:cubicBezTo>
              <a:cubicBezTo>
                <a:pt x="37915" y="47423"/>
                <a:pt x="31405" y="46438"/>
                <a:pt x="27912" y="42072"/>
              </a:cubicBezTo>
              <a:cubicBezTo>
                <a:pt x="24849" y="38243"/>
                <a:pt x="25980" y="32196"/>
                <a:pt x="23260" y="28116"/>
              </a:cubicBezTo>
              <a:cubicBezTo>
                <a:pt x="19611" y="22642"/>
                <a:pt x="13956" y="18812"/>
                <a:pt x="9304" y="14160"/>
              </a:cubicBezTo>
              <a:cubicBezTo>
                <a:pt x="3959" y="-1876"/>
                <a:pt x="8119" y="-3263"/>
                <a:pt x="0" y="4856"/>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502418</xdr:colOff>
      <xdr:row>759</xdr:row>
      <xdr:rowOff>88389</xdr:rowOff>
    </xdr:from>
    <xdr:to>
      <xdr:col>9</xdr:col>
      <xdr:colOff>423677</xdr:colOff>
      <xdr:row>761</xdr:row>
      <xdr:rowOff>46520</xdr:rowOff>
    </xdr:to>
    <xdr:sp macro="" textlink="">
      <xdr:nvSpPr>
        <xdr:cNvPr id="25" name="Freeform 24">
          <a:extLst>
            <a:ext uri="{FF2B5EF4-FFF2-40B4-BE49-F238E27FC236}">
              <a16:creationId xmlns:a16="http://schemas.microsoft.com/office/drawing/2014/main" id="{A3F22628-6EBF-F147-9E42-E8A91D45051A}"/>
            </a:ext>
          </a:extLst>
        </xdr:cNvPr>
        <xdr:cNvSpPr/>
      </xdr:nvSpPr>
      <xdr:spPr>
        <a:xfrm>
          <a:off x="13517138823" y="33336989"/>
          <a:ext cx="746759" cy="364531"/>
        </a:xfrm>
        <a:custGeom>
          <a:avLst/>
          <a:gdLst>
            <a:gd name="connsiteX0" fmla="*/ 740014 w 744666"/>
            <a:gd name="connsiteY0" fmla="*/ 367509 h 367509"/>
            <a:gd name="connsiteX1" fmla="*/ 744666 w 744666"/>
            <a:gd name="connsiteY1" fmla="*/ 334945 h 367509"/>
            <a:gd name="connsiteX2" fmla="*/ 730710 w 744666"/>
            <a:gd name="connsiteY2" fmla="*/ 274468 h 367509"/>
            <a:gd name="connsiteX3" fmla="*/ 721405 w 744666"/>
            <a:gd name="connsiteY3" fmla="*/ 265164 h 367509"/>
            <a:gd name="connsiteX4" fmla="*/ 712101 w 744666"/>
            <a:gd name="connsiteY4" fmla="*/ 246556 h 367509"/>
            <a:gd name="connsiteX5" fmla="*/ 688841 w 744666"/>
            <a:gd name="connsiteY5" fmla="*/ 204688 h 367509"/>
            <a:gd name="connsiteX6" fmla="*/ 674885 w 744666"/>
            <a:gd name="connsiteY6" fmla="*/ 190732 h 367509"/>
            <a:gd name="connsiteX7" fmla="*/ 656277 w 744666"/>
            <a:gd name="connsiteY7" fmla="*/ 186080 h 367509"/>
            <a:gd name="connsiteX8" fmla="*/ 605105 w 744666"/>
            <a:gd name="connsiteY8" fmla="*/ 200036 h 367509"/>
            <a:gd name="connsiteX9" fmla="*/ 577193 w 744666"/>
            <a:gd name="connsiteY9" fmla="*/ 227948 h 367509"/>
            <a:gd name="connsiteX10" fmla="*/ 567889 w 744666"/>
            <a:gd name="connsiteY10" fmla="*/ 255860 h 367509"/>
            <a:gd name="connsiteX11" fmla="*/ 563237 w 744666"/>
            <a:gd name="connsiteY11" fmla="*/ 269816 h 367509"/>
            <a:gd name="connsiteX12" fmla="*/ 553933 w 744666"/>
            <a:gd name="connsiteY12" fmla="*/ 246556 h 367509"/>
            <a:gd name="connsiteX13" fmla="*/ 549281 w 744666"/>
            <a:gd name="connsiteY13" fmla="*/ 232600 h 367509"/>
            <a:gd name="connsiteX14" fmla="*/ 530673 w 744666"/>
            <a:gd name="connsiteY14" fmla="*/ 204688 h 367509"/>
            <a:gd name="connsiteX15" fmla="*/ 521369 w 744666"/>
            <a:gd name="connsiteY15" fmla="*/ 176776 h 367509"/>
            <a:gd name="connsiteX16" fmla="*/ 507413 w 744666"/>
            <a:gd name="connsiteY16" fmla="*/ 167472 h 367509"/>
            <a:gd name="connsiteX17" fmla="*/ 479501 w 744666"/>
            <a:gd name="connsiteY17" fmla="*/ 158168 h 367509"/>
            <a:gd name="connsiteX18" fmla="*/ 446937 w 744666"/>
            <a:gd name="connsiteY18" fmla="*/ 148864 h 367509"/>
            <a:gd name="connsiteX19" fmla="*/ 414373 w 744666"/>
            <a:gd name="connsiteY19" fmla="*/ 144212 h 367509"/>
            <a:gd name="connsiteX20" fmla="*/ 391112 w 744666"/>
            <a:gd name="connsiteY20" fmla="*/ 148864 h 367509"/>
            <a:gd name="connsiteX21" fmla="*/ 381808 w 744666"/>
            <a:gd name="connsiteY21" fmla="*/ 176776 h 367509"/>
            <a:gd name="connsiteX22" fmla="*/ 386460 w 744666"/>
            <a:gd name="connsiteY22" fmla="*/ 237252 h 367509"/>
            <a:gd name="connsiteX23" fmla="*/ 381808 w 744666"/>
            <a:gd name="connsiteY23" fmla="*/ 255860 h 367509"/>
            <a:gd name="connsiteX24" fmla="*/ 377156 w 744666"/>
            <a:gd name="connsiteY24" fmla="*/ 241904 h 367509"/>
            <a:gd name="connsiteX25" fmla="*/ 349244 w 744666"/>
            <a:gd name="connsiteY25" fmla="*/ 213992 h 367509"/>
            <a:gd name="connsiteX26" fmla="*/ 312028 w 744666"/>
            <a:gd name="connsiteY26" fmla="*/ 204688 h 367509"/>
            <a:gd name="connsiteX27" fmla="*/ 265508 w 744666"/>
            <a:gd name="connsiteY27" fmla="*/ 190732 h 367509"/>
            <a:gd name="connsiteX28" fmla="*/ 232944 w 744666"/>
            <a:gd name="connsiteY28" fmla="*/ 186080 h 367509"/>
            <a:gd name="connsiteX29" fmla="*/ 218988 w 744666"/>
            <a:gd name="connsiteY29" fmla="*/ 181428 h 367509"/>
            <a:gd name="connsiteX30" fmla="*/ 191076 w 744666"/>
            <a:gd name="connsiteY30" fmla="*/ 167472 h 367509"/>
            <a:gd name="connsiteX31" fmla="*/ 177120 w 744666"/>
            <a:gd name="connsiteY31" fmla="*/ 153516 h 367509"/>
            <a:gd name="connsiteX32" fmla="*/ 163164 w 744666"/>
            <a:gd name="connsiteY32" fmla="*/ 144212 h 367509"/>
            <a:gd name="connsiteX33" fmla="*/ 153860 w 744666"/>
            <a:gd name="connsiteY33" fmla="*/ 130256 h 367509"/>
            <a:gd name="connsiteX34" fmla="*/ 144556 w 744666"/>
            <a:gd name="connsiteY34" fmla="*/ 116300 h 367509"/>
            <a:gd name="connsiteX35" fmla="*/ 153860 w 744666"/>
            <a:gd name="connsiteY35" fmla="*/ 88388 h 367509"/>
            <a:gd name="connsiteX36" fmla="*/ 158512 w 744666"/>
            <a:gd name="connsiteY36" fmla="*/ 74432 h 367509"/>
            <a:gd name="connsiteX37" fmla="*/ 135252 w 744666"/>
            <a:gd name="connsiteY37" fmla="*/ 9304 h 367509"/>
            <a:gd name="connsiteX38" fmla="*/ 107340 w 744666"/>
            <a:gd name="connsiteY38" fmla="*/ 0 h 367509"/>
            <a:gd name="connsiteX39" fmla="*/ 65471 w 744666"/>
            <a:gd name="connsiteY39" fmla="*/ 18608 h 367509"/>
            <a:gd name="connsiteX40" fmla="*/ 56167 w 744666"/>
            <a:gd name="connsiteY40" fmla="*/ 79084 h 367509"/>
            <a:gd name="connsiteX41" fmla="*/ 28255 w 744666"/>
            <a:gd name="connsiteY41" fmla="*/ 83736 h 367509"/>
            <a:gd name="connsiteX42" fmla="*/ 14299 w 744666"/>
            <a:gd name="connsiteY42" fmla="*/ 111648 h 367509"/>
            <a:gd name="connsiteX43" fmla="*/ 4995 w 744666"/>
            <a:gd name="connsiteY43" fmla="*/ 148864 h 367509"/>
            <a:gd name="connsiteX44" fmla="*/ 9647 w 744666"/>
            <a:gd name="connsiteY44" fmla="*/ 167472 h 367509"/>
            <a:gd name="connsiteX45" fmla="*/ 46863 w 744666"/>
            <a:gd name="connsiteY45" fmla="*/ 162820 h 367509"/>
            <a:gd name="connsiteX46" fmla="*/ 32907 w 744666"/>
            <a:gd name="connsiteY46" fmla="*/ 158168 h 367509"/>
            <a:gd name="connsiteX47" fmla="*/ 18951 w 744666"/>
            <a:gd name="connsiteY47" fmla="*/ 167472 h 367509"/>
            <a:gd name="connsiteX48" fmla="*/ 343 w 744666"/>
            <a:gd name="connsiteY48" fmla="*/ 195384 h 367509"/>
            <a:gd name="connsiteX49" fmla="*/ 4995 w 744666"/>
            <a:gd name="connsiteY49" fmla="*/ 241904 h 367509"/>
            <a:gd name="connsiteX50" fmla="*/ 28255 w 744666"/>
            <a:gd name="connsiteY50" fmla="*/ 237252 h 367509"/>
            <a:gd name="connsiteX51" fmla="*/ 46863 w 744666"/>
            <a:gd name="connsiteY51" fmla="*/ 223296 h 367509"/>
            <a:gd name="connsiteX52" fmla="*/ 32907 w 744666"/>
            <a:gd name="connsiteY52" fmla="*/ 232600 h 367509"/>
            <a:gd name="connsiteX53" fmla="*/ 28255 w 744666"/>
            <a:gd name="connsiteY53" fmla="*/ 293077 h 367509"/>
            <a:gd name="connsiteX54" fmla="*/ 37559 w 744666"/>
            <a:gd name="connsiteY54" fmla="*/ 307033 h 367509"/>
            <a:gd name="connsiteX55" fmla="*/ 51515 w 744666"/>
            <a:gd name="connsiteY55" fmla="*/ 311685 h 367509"/>
            <a:gd name="connsiteX56" fmla="*/ 84079 w 744666"/>
            <a:gd name="connsiteY56" fmla="*/ 297729 h 367509"/>
            <a:gd name="connsiteX57" fmla="*/ 107340 w 744666"/>
            <a:gd name="connsiteY57" fmla="*/ 274468 h 367509"/>
            <a:gd name="connsiteX58" fmla="*/ 111992 w 744666"/>
            <a:gd name="connsiteY58" fmla="*/ 260512 h 367509"/>
            <a:gd name="connsiteX59" fmla="*/ 130600 w 744666"/>
            <a:gd name="connsiteY59" fmla="*/ 209340 h 367509"/>
            <a:gd name="connsiteX60" fmla="*/ 135252 w 744666"/>
            <a:gd name="connsiteY60" fmla="*/ 209340 h 36750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Lst>
          <a:rect l="l" t="t" r="r" b="b"/>
          <a:pathLst>
            <a:path w="744666" h="367509">
              <a:moveTo>
                <a:pt x="740014" y="367509"/>
              </a:moveTo>
              <a:cubicBezTo>
                <a:pt x="741565" y="356654"/>
                <a:pt x="744666" y="345910"/>
                <a:pt x="744666" y="334945"/>
              </a:cubicBezTo>
              <a:cubicBezTo>
                <a:pt x="744666" y="315059"/>
                <a:pt x="740858" y="292226"/>
                <a:pt x="730710" y="274468"/>
              </a:cubicBezTo>
              <a:cubicBezTo>
                <a:pt x="728534" y="270660"/>
                <a:pt x="724507" y="268265"/>
                <a:pt x="721405" y="265164"/>
              </a:cubicBezTo>
              <a:cubicBezTo>
                <a:pt x="718304" y="258961"/>
                <a:pt x="714833" y="252930"/>
                <a:pt x="712101" y="246556"/>
              </a:cubicBezTo>
              <a:cubicBezTo>
                <a:pt x="703326" y="226082"/>
                <a:pt x="711507" y="227354"/>
                <a:pt x="688841" y="204688"/>
              </a:cubicBezTo>
              <a:cubicBezTo>
                <a:pt x="684189" y="200036"/>
                <a:pt x="680597" y="193996"/>
                <a:pt x="674885" y="190732"/>
              </a:cubicBezTo>
              <a:cubicBezTo>
                <a:pt x="669334" y="187560"/>
                <a:pt x="662480" y="187631"/>
                <a:pt x="656277" y="186080"/>
              </a:cubicBezTo>
              <a:cubicBezTo>
                <a:pt x="629358" y="189445"/>
                <a:pt x="622377" y="184683"/>
                <a:pt x="605105" y="200036"/>
              </a:cubicBezTo>
              <a:cubicBezTo>
                <a:pt x="595271" y="208778"/>
                <a:pt x="577193" y="227948"/>
                <a:pt x="577193" y="227948"/>
              </a:cubicBezTo>
              <a:lnTo>
                <a:pt x="567889" y="255860"/>
              </a:lnTo>
              <a:lnTo>
                <a:pt x="563237" y="269816"/>
              </a:lnTo>
              <a:cubicBezTo>
                <a:pt x="560136" y="262063"/>
                <a:pt x="556865" y="254375"/>
                <a:pt x="553933" y="246556"/>
              </a:cubicBezTo>
              <a:cubicBezTo>
                <a:pt x="552211" y="241965"/>
                <a:pt x="551662" y="236887"/>
                <a:pt x="549281" y="232600"/>
              </a:cubicBezTo>
              <a:cubicBezTo>
                <a:pt x="543851" y="222825"/>
                <a:pt x="534209" y="215296"/>
                <a:pt x="530673" y="204688"/>
              </a:cubicBezTo>
              <a:cubicBezTo>
                <a:pt x="527572" y="195384"/>
                <a:pt x="529529" y="182216"/>
                <a:pt x="521369" y="176776"/>
              </a:cubicBezTo>
              <a:cubicBezTo>
                <a:pt x="516717" y="173675"/>
                <a:pt x="512522" y="169743"/>
                <a:pt x="507413" y="167472"/>
              </a:cubicBezTo>
              <a:cubicBezTo>
                <a:pt x="498451" y="163489"/>
                <a:pt x="488805" y="161269"/>
                <a:pt x="479501" y="158168"/>
              </a:cubicBezTo>
              <a:cubicBezTo>
                <a:pt x="467544" y="154182"/>
                <a:pt x="459788" y="151201"/>
                <a:pt x="446937" y="148864"/>
              </a:cubicBezTo>
              <a:cubicBezTo>
                <a:pt x="436149" y="146903"/>
                <a:pt x="425228" y="145763"/>
                <a:pt x="414373" y="144212"/>
              </a:cubicBezTo>
              <a:cubicBezTo>
                <a:pt x="406619" y="145763"/>
                <a:pt x="396703" y="143273"/>
                <a:pt x="391112" y="148864"/>
              </a:cubicBezTo>
              <a:cubicBezTo>
                <a:pt x="384177" y="155799"/>
                <a:pt x="381808" y="176776"/>
                <a:pt x="381808" y="176776"/>
              </a:cubicBezTo>
              <a:cubicBezTo>
                <a:pt x="383359" y="196935"/>
                <a:pt x="386460" y="217034"/>
                <a:pt x="386460" y="237252"/>
              </a:cubicBezTo>
              <a:cubicBezTo>
                <a:pt x="386460" y="243646"/>
                <a:pt x="387527" y="253001"/>
                <a:pt x="381808" y="255860"/>
              </a:cubicBezTo>
              <a:cubicBezTo>
                <a:pt x="377422" y="258053"/>
                <a:pt x="379349" y="246290"/>
                <a:pt x="377156" y="241904"/>
              </a:cubicBezTo>
              <a:cubicBezTo>
                <a:pt x="371351" y="230295"/>
                <a:pt x="361508" y="219102"/>
                <a:pt x="349244" y="213992"/>
              </a:cubicBezTo>
              <a:cubicBezTo>
                <a:pt x="337441" y="209074"/>
                <a:pt x="324159" y="208732"/>
                <a:pt x="312028" y="204688"/>
              </a:cubicBezTo>
              <a:cubicBezTo>
                <a:pt x="297463" y="199833"/>
                <a:pt x="280975" y="193544"/>
                <a:pt x="265508" y="190732"/>
              </a:cubicBezTo>
              <a:cubicBezTo>
                <a:pt x="254720" y="188771"/>
                <a:pt x="243799" y="187631"/>
                <a:pt x="232944" y="186080"/>
              </a:cubicBezTo>
              <a:cubicBezTo>
                <a:pt x="228292" y="184529"/>
                <a:pt x="223374" y="183621"/>
                <a:pt x="218988" y="181428"/>
              </a:cubicBezTo>
              <a:cubicBezTo>
                <a:pt x="182916" y="163392"/>
                <a:pt x="226155" y="179165"/>
                <a:pt x="191076" y="167472"/>
              </a:cubicBezTo>
              <a:cubicBezTo>
                <a:pt x="186424" y="162820"/>
                <a:pt x="182174" y="157728"/>
                <a:pt x="177120" y="153516"/>
              </a:cubicBezTo>
              <a:cubicBezTo>
                <a:pt x="172825" y="149937"/>
                <a:pt x="167117" y="148165"/>
                <a:pt x="163164" y="144212"/>
              </a:cubicBezTo>
              <a:cubicBezTo>
                <a:pt x="159211" y="140259"/>
                <a:pt x="156961" y="134908"/>
                <a:pt x="153860" y="130256"/>
              </a:cubicBezTo>
              <a:lnTo>
                <a:pt x="144556" y="116300"/>
              </a:lnTo>
              <a:lnTo>
                <a:pt x="153860" y="88388"/>
              </a:lnTo>
              <a:lnTo>
                <a:pt x="158512" y="74432"/>
              </a:lnTo>
              <a:cubicBezTo>
                <a:pt x="156819" y="60886"/>
                <a:pt x="156908" y="16523"/>
                <a:pt x="135252" y="9304"/>
              </a:cubicBezTo>
              <a:lnTo>
                <a:pt x="107340" y="0"/>
              </a:lnTo>
              <a:cubicBezTo>
                <a:pt x="99720" y="1270"/>
                <a:pt x="67417" y="1095"/>
                <a:pt x="65471" y="18608"/>
              </a:cubicBezTo>
              <a:cubicBezTo>
                <a:pt x="58022" y="85651"/>
                <a:pt x="92511" y="103313"/>
                <a:pt x="56167" y="79084"/>
              </a:cubicBezTo>
              <a:cubicBezTo>
                <a:pt x="46863" y="80635"/>
                <a:pt x="36692" y="79518"/>
                <a:pt x="28255" y="83736"/>
              </a:cubicBezTo>
              <a:cubicBezTo>
                <a:pt x="21569" y="87079"/>
                <a:pt x="16037" y="105275"/>
                <a:pt x="14299" y="111648"/>
              </a:cubicBezTo>
              <a:cubicBezTo>
                <a:pt x="10934" y="123985"/>
                <a:pt x="4995" y="148864"/>
                <a:pt x="4995" y="148864"/>
              </a:cubicBezTo>
              <a:cubicBezTo>
                <a:pt x="6546" y="155067"/>
                <a:pt x="3582" y="165450"/>
                <a:pt x="9647" y="167472"/>
              </a:cubicBezTo>
              <a:cubicBezTo>
                <a:pt x="21507" y="171425"/>
                <a:pt x="35255" y="167463"/>
                <a:pt x="46863" y="162820"/>
              </a:cubicBezTo>
              <a:cubicBezTo>
                <a:pt x="51416" y="160999"/>
                <a:pt x="37559" y="159719"/>
                <a:pt x="32907" y="158168"/>
              </a:cubicBezTo>
              <a:cubicBezTo>
                <a:pt x="28255" y="161269"/>
                <a:pt x="22633" y="163264"/>
                <a:pt x="18951" y="167472"/>
              </a:cubicBezTo>
              <a:cubicBezTo>
                <a:pt x="11588" y="175887"/>
                <a:pt x="343" y="195384"/>
                <a:pt x="343" y="195384"/>
              </a:cubicBezTo>
              <a:cubicBezTo>
                <a:pt x="1894" y="210891"/>
                <a:pt x="-3649" y="228937"/>
                <a:pt x="4995" y="241904"/>
              </a:cubicBezTo>
              <a:cubicBezTo>
                <a:pt x="9381" y="248483"/>
                <a:pt x="21030" y="240463"/>
                <a:pt x="28255" y="237252"/>
              </a:cubicBezTo>
              <a:cubicBezTo>
                <a:pt x="35340" y="234103"/>
                <a:pt x="53314" y="218995"/>
                <a:pt x="46863" y="223296"/>
              </a:cubicBezTo>
              <a:lnTo>
                <a:pt x="32907" y="232600"/>
              </a:lnTo>
              <a:cubicBezTo>
                <a:pt x="23263" y="261533"/>
                <a:pt x="18720" y="261292"/>
                <a:pt x="28255" y="293077"/>
              </a:cubicBezTo>
              <a:cubicBezTo>
                <a:pt x="29862" y="298432"/>
                <a:pt x="33193" y="303540"/>
                <a:pt x="37559" y="307033"/>
              </a:cubicBezTo>
              <a:cubicBezTo>
                <a:pt x="41388" y="310096"/>
                <a:pt x="46863" y="310134"/>
                <a:pt x="51515" y="311685"/>
              </a:cubicBezTo>
              <a:cubicBezTo>
                <a:pt x="68199" y="307514"/>
                <a:pt x="71229" y="308973"/>
                <a:pt x="84079" y="297729"/>
              </a:cubicBezTo>
              <a:cubicBezTo>
                <a:pt x="92331" y="290508"/>
                <a:pt x="107340" y="274468"/>
                <a:pt x="107340" y="274468"/>
              </a:cubicBezTo>
              <a:cubicBezTo>
                <a:pt x="108891" y="269816"/>
                <a:pt x="111186" y="265349"/>
                <a:pt x="111992" y="260512"/>
              </a:cubicBezTo>
              <a:cubicBezTo>
                <a:pt x="118184" y="223358"/>
                <a:pt x="104593" y="222344"/>
                <a:pt x="130600" y="209340"/>
              </a:cubicBezTo>
              <a:cubicBezTo>
                <a:pt x="131987" y="208647"/>
                <a:pt x="133701" y="209340"/>
                <a:pt x="135252" y="20934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534176</xdr:colOff>
      <xdr:row>759</xdr:row>
      <xdr:rowOff>60477</xdr:rowOff>
    </xdr:from>
    <xdr:to>
      <xdr:col>7</xdr:col>
      <xdr:colOff>614066</xdr:colOff>
      <xdr:row>762</xdr:row>
      <xdr:rowOff>21911</xdr:rowOff>
    </xdr:to>
    <xdr:sp macro="" textlink="">
      <xdr:nvSpPr>
        <xdr:cNvPr id="26" name="Freeform 25">
          <a:extLst>
            <a:ext uri="{FF2B5EF4-FFF2-40B4-BE49-F238E27FC236}">
              <a16:creationId xmlns:a16="http://schemas.microsoft.com/office/drawing/2014/main" id="{DC9050EC-1FD9-FE4A-8132-B6DE7DBC7168}"/>
            </a:ext>
          </a:extLst>
        </xdr:cNvPr>
        <xdr:cNvSpPr/>
      </xdr:nvSpPr>
      <xdr:spPr>
        <a:xfrm>
          <a:off x="13518637534" y="33309077"/>
          <a:ext cx="905390" cy="571034"/>
        </a:xfrm>
        <a:custGeom>
          <a:avLst/>
          <a:gdLst>
            <a:gd name="connsiteX0" fmla="*/ 0 w 903297"/>
            <a:gd name="connsiteY0" fmla="*/ 567545 h 575500"/>
            <a:gd name="connsiteX1" fmla="*/ 218644 w 903297"/>
            <a:gd name="connsiteY1" fmla="*/ 567545 h 575500"/>
            <a:gd name="connsiteX2" fmla="*/ 334945 w 903297"/>
            <a:gd name="connsiteY2" fmla="*/ 558241 h 575500"/>
            <a:gd name="connsiteX3" fmla="*/ 376813 w 903297"/>
            <a:gd name="connsiteY3" fmla="*/ 548937 h 575500"/>
            <a:gd name="connsiteX4" fmla="*/ 423333 w 903297"/>
            <a:gd name="connsiteY4" fmla="*/ 530329 h 575500"/>
            <a:gd name="connsiteX5" fmla="*/ 493113 w 903297"/>
            <a:gd name="connsiteY5" fmla="*/ 507069 h 575500"/>
            <a:gd name="connsiteX6" fmla="*/ 516373 w 903297"/>
            <a:gd name="connsiteY6" fmla="*/ 497765 h 575500"/>
            <a:gd name="connsiteX7" fmla="*/ 534981 w 903297"/>
            <a:gd name="connsiteY7" fmla="*/ 483809 h 575500"/>
            <a:gd name="connsiteX8" fmla="*/ 581502 w 903297"/>
            <a:gd name="connsiteY8" fmla="*/ 455897 h 575500"/>
            <a:gd name="connsiteX9" fmla="*/ 609414 w 903297"/>
            <a:gd name="connsiteY9" fmla="*/ 427985 h 575500"/>
            <a:gd name="connsiteX10" fmla="*/ 628022 w 903297"/>
            <a:gd name="connsiteY10" fmla="*/ 414029 h 575500"/>
            <a:gd name="connsiteX11" fmla="*/ 641978 w 903297"/>
            <a:gd name="connsiteY11" fmla="*/ 400073 h 575500"/>
            <a:gd name="connsiteX12" fmla="*/ 655934 w 903297"/>
            <a:gd name="connsiteY12" fmla="*/ 390769 h 575500"/>
            <a:gd name="connsiteX13" fmla="*/ 679194 w 903297"/>
            <a:gd name="connsiteY13" fmla="*/ 362857 h 575500"/>
            <a:gd name="connsiteX14" fmla="*/ 688498 w 903297"/>
            <a:gd name="connsiteY14" fmla="*/ 325641 h 575500"/>
            <a:gd name="connsiteX15" fmla="*/ 693150 w 903297"/>
            <a:gd name="connsiteY15" fmla="*/ 307033 h 575500"/>
            <a:gd name="connsiteX16" fmla="*/ 702454 w 903297"/>
            <a:gd name="connsiteY16" fmla="*/ 288424 h 575500"/>
            <a:gd name="connsiteX17" fmla="*/ 711758 w 903297"/>
            <a:gd name="connsiteY17" fmla="*/ 260512 h 575500"/>
            <a:gd name="connsiteX18" fmla="*/ 721062 w 903297"/>
            <a:gd name="connsiteY18" fmla="*/ 246556 h 575500"/>
            <a:gd name="connsiteX19" fmla="*/ 730366 w 903297"/>
            <a:gd name="connsiteY19" fmla="*/ 209340 h 575500"/>
            <a:gd name="connsiteX20" fmla="*/ 735018 w 903297"/>
            <a:gd name="connsiteY20" fmla="*/ 190732 h 575500"/>
            <a:gd name="connsiteX21" fmla="*/ 739670 w 903297"/>
            <a:gd name="connsiteY21" fmla="*/ 167472 h 575500"/>
            <a:gd name="connsiteX22" fmla="*/ 744322 w 903297"/>
            <a:gd name="connsiteY22" fmla="*/ 153516 h 575500"/>
            <a:gd name="connsiteX23" fmla="*/ 748974 w 903297"/>
            <a:gd name="connsiteY23" fmla="*/ 134908 h 575500"/>
            <a:gd name="connsiteX24" fmla="*/ 772234 w 903297"/>
            <a:gd name="connsiteY24" fmla="*/ 139560 h 575500"/>
            <a:gd name="connsiteX25" fmla="*/ 837362 w 903297"/>
            <a:gd name="connsiteY25" fmla="*/ 130256 h 575500"/>
            <a:gd name="connsiteX26" fmla="*/ 851318 w 903297"/>
            <a:gd name="connsiteY26" fmla="*/ 125604 h 575500"/>
            <a:gd name="connsiteX27" fmla="*/ 874579 w 903297"/>
            <a:gd name="connsiteY27" fmla="*/ 120952 h 575500"/>
            <a:gd name="connsiteX28" fmla="*/ 893187 w 903297"/>
            <a:gd name="connsiteY28" fmla="*/ 116300 h 575500"/>
            <a:gd name="connsiteX29" fmla="*/ 893187 w 903297"/>
            <a:gd name="connsiteY29" fmla="*/ 88388 h 575500"/>
            <a:gd name="connsiteX30" fmla="*/ 874579 w 903297"/>
            <a:gd name="connsiteY30" fmla="*/ 93040 h 575500"/>
            <a:gd name="connsiteX31" fmla="*/ 846666 w 903297"/>
            <a:gd name="connsiteY31" fmla="*/ 102344 h 575500"/>
            <a:gd name="connsiteX32" fmla="*/ 832710 w 903297"/>
            <a:gd name="connsiteY32" fmla="*/ 106996 h 575500"/>
            <a:gd name="connsiteX33" fmla="*/ 814102 w 903297"/>
            <a:gd name="connsiteY33" fmla="*/ 111648 h 575500"/>
            <a:gd name="connsiteX34" fmla="*/ 818754 w 903297"/>
            <a:gd name="connsiteY34" fmla="*/ 93040 h 575500"/>
            <a:gd name="connsiteX35" fmla="*/ 837362 w 903297"/>
            <a:gd name="connsiteY35" fmla="*/ 74432 h 575500"/>
            <a:gd name="connsiteX36" fmla="*/ 851318 w 903297"/>
            <a:gd name="connsiteY36" fmla="*/ 46520 h 575500"/>
            <a:gd name="connsiteX37" fmla="*/ 842014 w 903297"/>
            <a:gd name="connsiteY37" fmla="*/ 18608 h 575500"/>
            <a:gd name="connsiteX38" fmla="*/ 837362 w 903297"/>
            <a:gd name="connsiteY38" fmla="*/ 4652 h 575500"/>
            <a:gd name="connsiteX39" fmla="*/ 823406 w 903297"/>
            <a:gd name="connsiteY39" fmla="*/ 0 h 575500"/>
            <a:gd name="connsiteX40" fmla="*/ 781538 w 903297"/>
            <a:gd name="connsiteY40" fmla="*/ 4652 h 575500"/>
            <a:gd name="connsiteX41" fmla="*/ 772234 w 903297"/>
            <a:gd name="connsiteY41" fmla="*/ 18608 h 575500"/>
            <a:gd name="connsiteX42" fmla="*/ 762930 w 903297"/>
            <a:gd name="connsiteY42" fmla="*/ 46520 h 575500"/>
            <a:gd name="connsiteX43" fmla="*/ 762930 w 903297"/>
            <a:gd name="connsiteY43" fmla="*/ 60476 h 575500"/>
            <a:gd name="connsiteX44" fmla="*/ 753626 w 903297"/>
            <a:gd name="connsiteY44" fmla="*/ 41868 h 575500"/>
            <a:gd name="connsiteX45" fmla="*/ 702454 w 903297"/>
            <a:gd name="connsiteY45" fmla="*/ 13956 h 575500"/>
            <a:gd name="connsiteX46" fmla="*/ 674542 w 903297"/>
            <a:gd name="connsiteY46" fmla="*/ 0 h 575500"/>
            <a:gd name="connsiteX47" fmla="*/ 669890 w 903297"/>
            <a:gd name="connsiteY47" fmla="*/ 13956 h 575500"/>
            <a:gd name="connsiteX48" fmla="*/ 683846 w 903297"/>
            <a:gd name="connsiteY48" fmla="*/ 60476 h 575500"/>
            <a:gd name="connsiteX49" fmla="*/ 697802 w 903297"/>
            <a:gd name="connsiteY49" fmla="*/ 65128 h 575500"/>
            <a:gd name="connsiteX50" fmla="*/ 711758 w 903297"/>
            <a:gd name="connsiteY50" fmla="*/ 74432 h 575500"/>
            <a:gd name="connsiteX51" fmla="*/ 693150 w 903297"/>
            <a:gd name="connsiteY51" fmla="*/ 69780 h 575500"/>
            <a:gd name="connsiteX52" fmla="*/ 679194 w 903297"/>
            <a:gd name="connsiteY52" fmla="*/ 60476 h 575500"/>
            <a:gd name="connsiteX53" fmla="*/ 665238 w 903297"/>
            <a:gd name="connsiteY53" fmla="*/ 46520 h 575500"/>
            <a:gd name="connsiteX54" fmla="*/ 651282 w 903297"/>
            <a:gd name="connsiteY54" fmla="*/ 41868 h 575500"/>
            <a:gd name="connsiteX55" fmla="*/ 604762 w 903297"/>
            <a:gd name="connsiteY55" fmla="*/ 46520 h 575500"/>
            <a:gd name="connsiteX56" fmla="*/ 609414 w 903297"/>
            <a:gd name="connsiteY56" fmla="*/ 65128 h 575500"/>
            <a:gd name="connsiteX57" fmla="*/ 614066 w 903297"/>
            <a:gd name="connsiteY57" fmla="*/ 79084 h 575500"/>
            <a:gd name="connsiteX58" fmla="*/ 641978 w 903297"/>
            <a:gd name="connsiteY58" fmla="*/ 97692 h 575500"/>
            <a:gd name="connsiteX59" fmla="*/ 651282 w 903297"/>
            <a:gd name="connsiteY59" fmla="*/ 111648 h 575500"/>
            <a:gd name="connsiteX60" fmla="*/ 646630 w 903297"/>
            <a:gd name="connsiteY60" fmla="*/ 125604 h 575500"/>
            <a:gd name="connsiteX61" fmla="*/ 641978 w 903297"/>
            <a:gd name="connsiteY61" fmla="*/ 148864 h 575500"/>
            <a:gd name="connsiteX62" fmla="*/ 637326 w 903297"/>
            <a:gd name="connsiteY62" fmla="*/ 162820 h 575500"/>
            <a:gd name="connsiteX63" fmla="*/ 628022 w 903297"/>
            <a:gd name="connsiteY63" fmla="*/ 195384 h 575500"/>
            <a:gd name="connsiteX64" fmla="*/ 618718 w 903297"/>
            <a:gd name="connsiteY64" fmla="*/ 209340 h 575500"/>
            <a:gd name="connsiteX65" fmla="*/ 604762 w 903297"/>
            <a:gd name="connsiteY65" fmla="*/ 237252 h 575500"/>
            <a:gd name="connsiteX66" fmla="*/ 576850 w 903297"/>
            <a:gd name="connsiteY66" fmla="*/ 260512 h 575500"/>
            <a:gd name="connsiteX67" fmla="*/ 553590 w 903297"/>
            <a:gd name="connsiteY67" fmla="*/ 283772 h 575500"/>
            <a:gd name="connsiteX68" fmla="*/ 534981 w 903297"/>
            <a:gd name="connsiteY68" fmla="*/ 307033 h 575500"/>
            <a:gd name="connsiteX69" fmla="*/ 516373 w 903297"/>
            <a:gd name="connsiteY69" fmla="*/ 316337 h 575500"/>
            <a:gd name="connsiteX70" fmla="*/ 502417 w 903297"/>
            <a:gd name="connsiteY70" fmla="*/ 330293 h 575500"/>
            <a:gd name="connsiteX71" fmla="*/ 474505 w 903297"/>
            <a:gd name="connsiteY71" fmla="*/ 348901 h 575500"/>
            <a:gd name="connsiteX72" fmla="*/ 441941 w 903297"/>
            <a:gd name="connsiteY72" fmla="*/ 372161 h 575500"/>
            <a:gd name="connsiteX73" fmla="*/ 427985 w 903297"/>
            <a:gd name="connsiteY73" fmla="*/ 376813 h 575500"/>
            <a:gd name="connsiteX74" fmla="*/ 400073 w 903297"/>
            <a:gd name="connsiteY74" fmla="*/ 320989 h 575500"/>
            <a:gd name="connsiteX75" fmla="*/ 381465 w 903297"/>
            <a:gd name="connsiteY75" fmla="*/ 307033 h 575500"/>
            <a:gd name="connsiteX76" fmla="*/ 353553 w 903297"/>
            <a:gd name="connsiteY76" fmla="*/ 297728 h 575500"/>
            <a:gd name="connsiteX77" fmla="*/ 297729 w 903297"/>
            <a:gd name="connsiteY77" fmla="*/ 307033 h 575500"/>
            <a:gd name="connsiteX78" fmla="*/ 255861 w 903297"/>
            <a:gd name="connsiteY78" fmla="*/ 344249 h 575500"/>
            <a:gd name="connsiteX79" fmla="*/ 241905 w 903297"/>
            <a:gd name="connsiteY79" fmla="*/ 353553 h 575500"/>
            <a:gd name="connsiteX80" fmla="*/ 237253 w 903297"/>
            <a:gd name="connsiteY80" fmla="*/ 367509 h 575500"/>
            <a:gd name="connsiteX81" fmla="*/ 237253 w 903297"/>
            <a:gd name="connsiteY81" fmla="*/ 427985 h 575500"/>
            <a:gd name="connsiteX82" fmla="*/ 227949 w 903297"/>
            <a:gd name="connsiteY82" fmla="*/ 409377 h 575500"/>
            <a:gd name="connsiteX83" fmla="*/ 218644 w 903297"/>
            <a:gd name="connsiteY83" fmla="*/ 381465 h 575500"/>
            <a:gd name="connsiteX84" fmla="*/ 209340 w 903297"/>
            <a:gd name="connsiteY84" fmla="*/ 367509 h 575500"/>
            <a:gd name="connsiteX85" fmla="*/ 204688 w 903297"/>
            <a:gd name="connsiteY85" fmla="*/ 353553 h 575500"/>
            <a:gd name="connsiteX86" fmla="*/ 176776 w 903297"/>
            <a:gd name="connsiteY86" fmla="*/ 334945 h 575500"/>
            <a:gd name="connsiteX87" fmla="*/ 162820 w 903297"/>
            <a:gd name="connsiteY87" fmla="*/ 325641 h 575500"/>
            <a:gd name="connsiteX88" fmla="*/ 148864 w 903297"/>
            <a:gd name="connsiteY88" fmla="*/ 316337 h 575500"/>
            <a:gd name="connsiteX89" fmla="*/ 134908 w 903297"/>
            <a:gd name="connsiteY89" fmla="*/ 311685 h 575500"/>
            <a:gd name="connsiteX90" fmla="*/ 97692 w 903297"/>
            <a:gd name="connsiteY90" fmla="*/ 316337 h 575500"/>
            <a:gd name="connsiteX91" fmla="*/ 69780 w 903297"/>
            <a:gd name="connsiteY91" fmla="*/ 334945 h 575500"/>
            <a:gd name="connsiteX92" fmla="*/ 69780 w 903297"/>
            <a:gd name="connsiteY92" fmla="*/ 381465 h 575500"/>
            <a:gd name="connsiteX93" fmla="*/ 79084 w 903297"/>
            <a:gd name="connsiteY93" fmla="*/ 381465 h 575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Lst>
          <a:rect l="l" t="t" r="r" b="b"/>
          <a:pathLst>
            <a:path w="903297" h="575500">
              <a:moveTo>
                <a:pt x="0" y="567545"/>
              </a:moveTo>
              <a:cubicBezTo>
                <a:pt x="90089" y="580415"/>
                <a:pt x="43655" y="575621"/>
                <a:pt x="218644" y="567545"/>
              </a:cubicBezTo>
              <a:cubicBezTo>
                <a:pt x="257493" y="565752"/>
                <a:pt x="334945" y="558241"/>
                <a:pt x="334945" y="558241"/>
              </a:cubicBezTo>
              <a:cubicBezTo>
                <a:pt x="342316" y="556767"/>
                <a:pt x="368452" y="551923"/>
                <a:pt x="376813" y="548937"/>
              </a:cubicBezTo>
              <a:cubicBezTo>
                <a:pt x="392541" y="543320"/>
                <a:pt x="406956" y="533604"/>
                <a:pt x="423333" y="530329"/>
              </a:cubicBezTo>
              <a:cubicBezTo>
                <a:pt x="462970" y="522402"/>
                <a:pt x="439252" y="528614"/>
                <a:pt x="493113" y="507069"/>
              </a:cubicBezTo>
              <a:cubicBezTo>
                <a:pt x="500866" y="503968"/>
                <a:pt x="509693" y="502775"/>
                <a:pt x="516373" y="497765"/>
              </a:cubicBezTo>
              <a:cubicBezTo>
                <a:pt x="522576" y="493113"/>
                <a:pt x="528406" y="487918"/>
                <a:pt x="534981" y="483809"/>
              </a:cubicBezTo>
              <a:cubicBezTo>
                <a:pt x="554561" y="471572"/>
                <a:pt x="562381" y="475018"/>
                <a:pt x="581502" y="455897"/>
              </a:cubicBezTo>
              <a:cubicBezTo>
                <a:pt x="590806" y="446593"/>
                <a:pt x="599634" y="436787"/>
                <a:pt x="609414" y="427985"/>
              </a:cubicBezTo>
              <a:cubicBezTo>
                <a:pt x="615177" y="422798"/>
                <a:pt x="622135" y="419075"/>
                <a:pt x="628022" y="414029"/>
              </a:cubicBezTo>
              <a:cubicBezTo>
                <a:pt x="633017" y="409747"/>
                <a:pt x="636924" y="404285"/>
                <a:pt x="641978" y="400073"/>
              </a:cubicBezTo>
              <a:cubicBezTo>
                <a:pt x="646273" y="396494"/>
                <a:pt x="651639" y="394348"/>
                <a:pt x="655934" y="390769"/>
              </a:cubicBezTo>
              <a:cubicBezTo>
                <a:pt x="669366" y="379576"/>
                <a:pt x="670046" y="376579"/>
                <a:pt x="679194" y="362857"/>
              </a:cubicBezTo>
              <a:cubicBezTo>
                <a:pt x="688652" y="315567"/>
                <a:pt x="678962" y="359019"/>
                <a:pt x="688498" y="325641"/>
              </a:cubicBezTo>
              <a:cubicBezTo>
                <a:pt x="690254" y="319493"/>
                <a:pt x="690905" y="313019"/>
                <a:pt x="693150" y="307033"/>
              </a:cubicBezTo>
              <a:cubicBezTo>
                <a:pt x="695585" y="300539"/>
                <a:pt x="699878" y="294863"/>
                <a:pt x="702454" y="288424"/>
              </a:cubicBezTo>
              <a:cubicBezTo>
                <a:pt x="706096" y="279318"/>
                <a:pt x="706318" y="268672"/>
                <a:pt x="711758" y="260512"/>
              </a:cubicBezTo>
              <a:cubicBezTo>
                <a:pt x="714859" y="255860"/>
                <a:pt x="718562" y="251557"/>
                <a:pt x="721062" y="246556"/>
              </a:cubicBezTo>
              <a:cubicBezTo>
                <a:pt x="726050" y="236581"/>
                <a:pt x="728243" y="218895"/>
                <a:pt x="730366" y="209340"/>
              </a:cubicBezTo>
              <a:cubicBezTo>
                <a:pt x="731753" y="203099"/>
                <a:pt x="733631" y="196973"/>
                <a:pt x="735018" y="190732"/>
              </a:cubicBezTo>
              <a:cubicBezTo>
                <a:pt x="736733" y="183013"/>
                <a:pt x="737752" y="175143"/>
                <a:pt x="739670" y="167472"/>
              </a:cubicBezTo>
              <a:cubicBezTo>
                <a:pt x="740859" y="162715"/>
                <a:pt x="742975" y="158231"/>
                <a:pt x="744322" y="153516"/>
              </a:cubicBezTo>
              <a:cubicBezTo>
                <a:pt x="746078" y="147368"/>
                <a:pt x="747423" y="141111"/>
                <a:pt x="748974" y="134908"/>
              </a:cubicBezTo>
              <a:cubicBezTo>
                <a:pt x="756727" y="136459"/>
                <a:pt x="764327" y="139560"/>
                <a:pt x="772234" y="139560"/>
              </a:cubicBezTo>
              <a:cubicBezTo>
                <a:pt x="796331" y="139560"/>
                <a:pt x="815445" y="136518"/>
                <a:pt x="837362" y="130256"/>
              </a:cubicBezTo>
              <a:cubicBezTo>
                <a:pt x="842077" y="128909"/>
                <a:pt x="846561" y="126793"/>
                <a:pt x="851318" y="125604"/>
              </a:cubicBezTo>
              <a:cubicBezTo>
                <a:pt x="858989" y="123686"/>
                <a:pt x="866860" y="122667"/>
                <a:pt x="874579" y="120952"/>
              </a:cubicBezTo>
              <a:cubicBezTo>
                <a:pt x="880820" y="119565"/>
                <a:pt x="886984" y="117851"/>
                <a:pt x="893187" y="116300"/>
              </a:cubicBezTo>
              <a:cubicBezTo>
                <a:pt x="897698" y="109533"/>
                <a:pt x="913487" y="95155"/>
                <a:pt x="893187" y="88388"/>
              </a:cubicBezTo>
              <a:cubicBezTo>
                <a:pt x="887122" y="86366"/>
                <a:pt x="880703" y="91203"/>
                <a:pt x="874579" y="93040"/>
              </a:cubicBezTo>
              <a:cubicBezTo>
                <a:pt x="865185" y="95858"/>
                <a:pt x="855970" y="99243"/>
                <a:pt x="846666" y="102344"/>
              </a:cubicBezTo>
              <a:cubicBezTo>
                <a:pt x="842014" y="103895"/>
                <a:pt x="837467" y="105807"/>
                <a:pt x="832710" y="106996"/>
              </a:cubicBezTo>
              <a:lnTo>
                <a:pt x="814102" y="111648"/>
              </a:lnTo>
              <a:cubicBezTo>
                <a:pt x="815653" y="105445"/>
                <a:pt x="815365" y="98462"/>
                <a:pt x="818754" y="93040"/>
              </a:cubicBezTo>
              <a:cubicBezTo>
                <a:pt x="823403" y="85601"/>
                <a:pt x="831653" y="81092"/>
                <a:pt x="837362" y="74432"/>
              </a:cubicBezTo>
              <a:cubicBezTo>
                <a:pt x="847200" y="62954"/>
                <a:pt x="846815" y="60028"/>
                <a:pt x="851318" y="46520"/>
              </a:cubicBezTo>
              <a:lnTo>
                <a:pt x="842014" y="18608"/>
              </a:lnTo>
              <a:cubicBezTo>
                <a:pt x="840463" y="13956"/>
                <a:pt x="842014" y="6203"/>
                <a:pt x="837362" y="4652"/>
              </a:cubicBezTo>
              <a:lnTo>
                <a:pt x="823406" y="0"/>
              </a:lnTo>
              <a:cubicBezTo>
                <a:pt x="809450" y="1551"/>
                <a:pt x="794734" y="-147"/>
                <a:pt x="781538" y="4652"/>
              </a:cubicBezTo>
              <a:cubicBezTo>
                <a:pt x="776284" y="6563"/>
                <a:pt x="774505" y="13499"/>
                <a:pt x="772234" y="18608"/>
              </a:cubicBezTo>
              <a:cubicBezTo>
                <a:pt x="768251" y="27570"/>
                <a:pt x="762930" y="46520"/>
                <a:pt x="762930" y="46520"/>
              </a:cubicBezTo>
              <a:cubicBezTo>
                <a:pt x="772060" y="101298"/>
                <a:pt x="768656" y="71928"/>
                <a:pt x="762930" y="60476"/>
              </a:cubicBezTo>
              <a:cubicBezTo>
                <a:pt x="759829" y="54273"/>
                <a:pt x="758193" y="47087"/>
                <a:pt x="753626" y="41868"/>
              </a:cubicBezTo>
              <a:cubicBezTo>
                <a:pt x="718512" y="1738"/>
                <a:pt x="743930" y="41606"/>
                <a:pt x="702454" y="13956"/>
              </a:cubicBezTo>
              <a:cubicBezTo>
                <a:pt x="684418" y="1932"/>
                <a:pt x="693802" y="6420"/>
                <a:pt x="674542" y="0"/>
              </a:cubicBezTo>
              <a:cubicBezTo>
                <a:pt x="672991" y="4652"/>
                <a:pt x="669890" y="9052"/>
                <a:pt x="669890" y="13956"/>
              </a:cubicBezTo>
              <a:cubicBezTo>
                <a:pt x="669890" y="26578"/>
                <a:pt x="671235" y="50387"/>
                <a:pt x="683846" y="60476"/>
              </a:cubicBezTo>
              <a:cubicBezTo>
                <a:pt x="687675" y="63539"/>
                <a:pt x="693416" y="62935"/>
                <a:pt x="697802" y="65128"/>
              </a:cubicBezTo>
              <a:cubicBezTo>
                <a:pt x="702803" y="67628"/>
                <a:pt x="715711" y="70479"/>
                <a:pt x="711758" y="74432"/>
              </a:cubicBezTo>
              <a:cubicBezTo>
                <a:pt x="707237" y="78953"/>
                <a:pt x="699353" y="71331"/>
                <a:pt x="693150" y="69780"/>
              </a:cubicBezTo>
              <a:cubicBezTo>
                <a:pt x="688498" y="66679"/>
                <a:pt x="683489" y="64055"/>
                <a:pt x="679194" y="60476"/>
              </a:cubicBezTo>
              <a:cubicBezTo>
                <a:pt x="674140" y="56264"/>
                <a:pt x="670712" y="50169"/>
                <a:pt x="665238" y="46520"/>
              </a:cubicBezTo>
              <a:cubicBezTo>
                <a:pt x="661158" y="43800"/>
                <a:pt x="655934" y="43419"/>
                <a:pt x="651282" y="41868"/>
              </a:cubicBezTo>
              <a:cubicBezTo>
                <a:pt x="635775" y="43419"/>
                <a:pt x="618385" y="38952"/>
                <a:pt x="604762" y="46520"/>
              </a:cubicBezTo>
              <a:cubicBezTo>
                <a:pt x="599173" y="49625"/>
                <a:pt x="607658" y="58980"/>
                <a:pt x="609414" y="65128"/>
              </a:cubicBezTo>
              <a:cubicBezTo>
                <a:pt x="610761" y="69843"/>
                <a:pt x="610599" y="75617"/>
                <a:pt x="614066" y="79084"/>
              </a:cubicBezTo>
              <a:cubicBezTo>
                <a:pt x="621973" y="86991"/>
                <a:pt x="641978" y="97692"/>
                <a:pt x="641978" y="97692"/>
              </a:cubicBezTo>
              <a:cubicBezTo>
                <a:pt x="645079" y="102344"/>
                <a:pt x="650363" y="106133"/>
                <a:pt x="651282" y="111648"/>
              </a:cubicBezTo>
              <a:cubicBezTo>
                <a:pt x="652088" y="116485"/>
                <a:pt x="647819" y="120847"/>
                <a:pt x="646630" y="125604"/>
              </a:cubicBezTo>
              <a:cubicBezTo>
                <a:pt x="644712" y="133275"/>
                <a:pt x="643896" y="141193"/>
                <a:pt x="641978" y="148864"/>
              </a:cubicBezTo>
              <a:cubicBezTo>
                <a:pt x="640789" y="153621"/>
                <a:pt x="638673" y="158105"/>
                <a:pt x="637326" y="162820"/>
              </a:cubicBezTo>
              <a:cubicBezTo>
                <a:pt x="635339" y="169776"/>
                <a:pt x="631740" y="187948"/>
                <a:pt x="628022" y="195384"/>
              </a:cubicBezTo>
              <a:cubicBezTo>
                <a:pt x="625522" y="200385"/>
                <a:pt x="621218" y="204339"/>
                <a:pt x="618718" y="209340"/>
              </a:cubicBezTo>
              <a:cubicBezTo>
                <a:pt x="608228" y="230321"/>
                <a:pt x="621427" y="217254"/>
                <a:pt x="604762" y="237252"/>
              </a:cubicBezTo>
              <a:cubicBezTo>
                <a:pt x="593569" y="250684"/>
                <a:pt x="590572" y="251364"/>
                <a:pt x="576850" y="260512"/>
              </a:cubicBezTo>
              <a:cubicBezTo>
                <a:pt x="552039" y="297728"/>
                <a:pt x="584603" y="252759"/>
                <a:pt x="553590" y="283772"/>
              </a:cubicBezTo>
              <a:cubicBezTo>
                <a:pt x="541146" y="296216"/>
                <a:pt x="548794" y="297824"/>
                <a:pt x="534981" y="307033"/>
              </a:cubicBezTo>
              <a:cubicBezTo>
                <a:pt x="529211" y="310880"/>
                <a:pt x="522016" y="312306"/>
                <a:pt x="516373" y="316337"/>
              </a:cubicBezTo>
              <a:cubicBezTo>
                <a:pt x="511020" y="320161"/>
                <a:pt x="507610" y="326254"/>
                <a:pt x="502417" y="330293"/>
              </a:cubicBezTo>
              <a:cubicBezTo>
                <a:pt x="493590" y="337158"/>
                <a:pt x="483451" y="342192"/>
                <a:pt x="474505" y="348901"/>
              </a:cubicBezTo>
              <a:cubicBezTo>
                <a:pt x="470291" y="352062"/>
                <a:pt x="448743" y="368760"/>
                <a:pt x="441941" y="372161"/>
              </a:cubicBezTo>
              <a:cubicBezTo>
                <a:pt x="437555" y="374354"/>
                <a:pt x="432637" y="375262"/>
                <a:pt x="427985" y="376813"/>
              </a:cubicBezTo>
              <a:cubicBezTo>
                <a:pt x="422175" y="359384"/>
                <a:pt x="416105" y="333013"/>
                <a:pt x="400073" y="320989"/>
              </a:cubicBezTo>
              <a:cubicBezTo>
                <a:pt x="393870" y="316337"/>
                <a:pt x="388400" y="310501"/>
                <a:pt x="381465" y="307033"/>
              </a:cubicBezTo>
              <a:cubicBezTo>
                <a:pt x="372693" y="302647"/>
                <a:pt x="353553" y="297728"/>
                <a:pt x="353553" y="297728"/>
              </a:cubicBezTo>
              <a:cubicBezTo>
                <a:pt x="351134" y="297997"/>
                <a:pt x="309528" y="299659"/>
                <a:pt x="297729" y="307033"/>
              </a:cubicBezTo>
              <a:cubicBezTo>
                <a:pt x="272462" y="322825"/>
                <a:pt x="277212" y="325949"/>
                <a:pt x="255861" y="344249"/>
              </a:cubicBezTo>
              <a:cubicBezTo>
                <a:pt x="251616" y="347888"/>
                <a:pt x="246557" y="350452"/>
                <a:pt x="241905" y="353553"/>
              </a:cubicBezTo>
              <a:cubicBezTo>
                <a:pt x="240354" y="358205"/>
                <a:pt x="237253" y="362605"/>
                <a:pt x="237253" y="367509"/>
              </a:cubicBezTo>
              <a:cubicBezTo>
                <a:pt x="237253" y="434328"/>
                <a:pt x="248450" y="394393"/>
                <a:pt x="237253" y="427985"/>
              </a:cubicBezTo>
              <a:cubicBezTo>
                <a:pt x="234152" y="421782"/>
                <a:pt x="230525" y="415816"/>
                <a:pt x="227949" y="409377"/>
              </a:cubicBezTo>
              <a:cubicBezTo>
                <a:pt x="224306" y="400271"/>
                <a:pt x="224084" y="389625"/>
                <a:pt x="218644" y="381465"/>
              </a:cubicBezTo>
              <a:cubicBezTo>
                <a:pt x="215543" y="376813"/>
                <a:pt x="211840" y="372510"/>
                <a:pt x="209340" y="367509"/>
              </a:cubicBezTo>
              <a:cubicBezTo>
                <a:pt x="207147" y="363123"/>
                <a:pt x="208155" y="357020"/>
                <a:pt x="204688" y="353553"/>
              </a:cubicBezTo>
              <a:cubicBezTo>
                <a:pt x="196781" y="345646"/>
                <a:pt x="186080" y="341148"/>
                <a:pt x="176776" y="334945"/>
              </a:cubicBezTo>
              <a:lnTo>
                <a:pt x="162820" y="325641"/>
              </a:lnTo>
              <a:cubicBezTo>
                <a:pt x="158168" y="322540"/>
                <a:pt x="154168" y="318105"/>
                <a:pt x="148864" y="316337"/>
              </a:cubicBezTo>
              <a:lnTo>
                <a:pt x="134908" y="311685"/>
              </a:lnTo>
              <a:cubicBezTo>
                <a:pt x="122503" y="313236"/>
                <a:pt x="109466" y="312132"/>
                <a:pt x="97692" y="316337"/>
              </a:cubicBezTo>
              <a:cubicBezTo>
                <a:pt x="87161" y="320098"/>
                <a:pt x="69780" y="334945"/>
                <a:pt x="69780" y="334945"/>
              </a:cubicBezTo>
              <a:cubicBezTo>
                <a:pt x="63752" y="353028"/>
                <a:pt x="59757" y="358079"/>
                <a:pt x="69780" y="381465"/>
              </a:cubicBezTo>
              <a:cubicBezTo>
                <a:pt x="71002" y="384316"/>
                <a:pt x="75983" y="381465"/>
                <a:pt x="79084" y="381465"/>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632675</xdr:colOff>
      <xdr:row>761</xdr:row>
      <xdr:rowOff>93040</xdr:rowOff>
    </xdr:from>
    <xdr:to>
      <xdr:col>8</xdr:col>
      <xdr:colOff>446595</xdr:colOff>
      <xdr:row>763</xdr:row>
      <xdr:rowOff>200036</xdr:rowOff>
    </xdr:to>
    <xdr:sp macro="" textlink="">
      <xdr:nvSpPr>
        <xdr:cNvPr id="27" name="TextBox 26">
          <a:extLst>
            <a:ext uri="{FF2B5EF4-FFF2-40B4-BE49-F238E27FC236}">
              <a16:creationId xmlns:a16="http://schemas.microsoft.com/office/drawing/2014/main" id="{302EF246-7297-FB40-A5BA-191D9B201B45}"/>
            </a:ext>
          </a:extLst>
        </xdr:cNvPr>
        <xdr:cNvSpPr txBox="1"/>
      </xdr:nvSpPr>
      <xdr:spPr>
        <a:xfrm>
          <a:off x="13517941405" y="33748040"/>
          <a:ext cx="677520" cy="5133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rtl="1"/>
          <a:r>
            <a:rPr lang="he-IL" sz="800"/>
            <a:t>השגחה על מי שנכנס</a:t>
          </a:r>
          <a:endParaRPr lang="en-US" sz="800"/>
        </a:p>
      </xdr:txBody>
    </xdr:sp>
    <xdr:clientData/>
  </xdr:twoCellAnchor>
  <xdr:twoCellAnchor>
    <xdr:from>
      <xdr:col>7</xdr:col>
      <xdr:colOff>800147</xdr:colOff>
      <xdr:row>760</xdr:row>
      <xdr:rowOff>195385</xdr:rowOff>
    </xdr:from>
    <xdr:to>
      <xdr:col>8</xdr:col>
      <xdr:colOff>241906</xdr:colOff>
      <xdr:row>761</xdr:row>
      <xdr:rowOff>69780</xdr:rowOff>
    </xdr:to>
    <xdr:sp macro="" textlink="">
      <xdr:nvSpPr>
        <xdr:cNvPr id="28" name="Rectangle 27">
          <a:extLst>
            <a:ext uri="{FF2B5EF4-FFF2-40B4-BE49-F238E27FC236}">
              <a16:creationId xmlns:a16="http://schemas.microsoft.com/office/drawing/2014/main" id="{854E85CE-3870-E744-A72A-41D76783D602}"/>
            </a:ext>
          </a:extLst>
        </xdr:cNvPr>
        <xdr:cNvSpPr/>
      </xdr:nvSpPr>
      <xdr:spPr>
        <a:xfrm>
          <a:off x="13518146094" y="33647185"/>
          <a:ext cx="305359" cy="7759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237254</xdr:colOff>
      <xdr:row>764</xdr:row>
      <xdr:rowOff>93040</xdr:rowOff>
    </xdr:from>
    <xdr:to>
      <xdr:col>9</xdr:col>
      <xdr:colOff>69781</xdr:colOff>
      <xdr:row>768</xdr:row>
      <xdr:rowOff>65128</xdr:rowOff>
    </xdr:to>
    <xdr:sp macro="" textlink="">
      <xdr:nvSpPr>
        <xdr:cNvPr id="29" name="Freeform 28">
          <a:extLst>
            <a:ext uri="{FF2B5EF4-FFF2-40B4-BE49-F238E27FC236}">
              <a16:creationId xmlns:a16="http://schemas.microsoft.com/office/drawing/2014/main" id="{3CE92A26-F776-4741-A24D-04BA5C7C034C}"/>
            </a:ext>
          </a:extLst>
        </xdr:cNvPr>
        <xdr:cNvSpPr/>
      </xdr:nvSpPr>
      <xdr:spPr>
        <a:xfrm>
          <a:off x="13517492719" y="34357640"/>
          <a:ext cx="658027" cy="784888"/>
        </a:xfrm>
        <a:custGeom>
          <a:avLst/>
          <a:gdLst>
            <a:gd name="connsiteX0" fmla="*/ 558242 w 655934"/>
            <a:gd name="connsiteY0" fmla="*/ 0 h 790842"/>
            <a:gd name="connsiteX1" fmla="*/ 525678 w 655934"/>
            <a:gd name="connsiteY1" fmla="*/ 4652 h 790842"/>
            <a:gd name="connsiteX2" fmla="*/ 493114 w 655934"/>
            <a:gd name="connsiteY2" fmla="*/ 51172 h 790842"/>
            <a:gd name="connsiteX3" fmla="*/ 483810 w 655934"/>
            <a:gd name="connsiteY3" fmla="*/ 65128 h 790842"/>
            <a:gd name="connsiteX4" fmla="*/ 479158 w 655934"/>
            <a:gd name="connsiteY4" fmla="*/ 83736 h 790842"/>
            <a:gd name="connsiteX5" fmla="*/ 465202 w 655934"/>
            <a:gd name="connsiteY5" fmla="*/ 158168 h 790842"/>
            <a:gd name="connsiteX6" fmla="*/ 455898 w 655934"/>
            <a:gd name="connsiteY6" fmla="*/ 451245 h 790842"/>
            <a:gd name="connsiteX7" fmla="*/ 446594 w 655934"/>
            <a:gd name="connsiteY7" fmla="*/ 465201 h 790842"/>
            <a:gd name="connsiteX8" fmla="*/ 390770 w 655934"/>
            <a:gd name="connsiteY8" fmla="*/ 534982 h 790842"/>
            <a:gd name="connsiteX9" fmla="*/ 246557 w 655934"/>
            <a:gd name="connsiteY9" fmla="*/ 628022 h 790842"/>
            <a:gd name="connsiteX10" fmla="*/ 190733 w 655934"/>
            <a:gd name="connsiteY10" fmla="*/ 660586 h 790842"/>
            <a:gd name="connsiteX11" fmla="*/ 102345 w 655934"/>
            <a:gd name="connsiteY11" fmla="*/ 730366 h 790842"/>
            <a:gd name="connsiteX12" fmla="*/ 79085 w 655934"/>
            <a:gd name="connsiteY12" fmla="*/ 748974 h 790842"/>
            <a:gd name="connsiteX13" fmla="*/ 27912 w 655934"/>
            <a:gd name="connsiteY13" fmla="*/ 772234 h 790842"/>
            <a:gd name="connsiteX14" fmla="*/ 0 w 655934"/>
            <a:gd name="connsiteY14" fmla="*/ 786190 h 790842"/>
            <a:gd name="connsiteX15" fmla="*/ 18608 w 655934"/>
            <a:gd name="connsiteY15" fmla="*/ 790842 h 790842"/>
            <a:gd name="connsiteX16" fmla="*/ 106997 w 655934"/>
            <a:gd name="connsiteY16" fmla="*/ 781538 h 790842"/>
            <a:gd name="connsiteX17" fmla="*/ 390770 w 655934"/>
            <a:gd name="connsiteY17" fmla="*/ 776886 h 790842"/>
            <a:gd name="connsiteX18" fmla="*/ 432638 w 655934"/>
            <a:gd name="connsiteY18" fmla="*/ 772234 h 790842"/>
            <a:gd name="connsiteX19" fmla="*/ 493114 w 655934"/>
            <a:gd name="connsiteY19" fmla="*/ 758278 h 790842"/>
            <a:gd name="connsiteX20" fmla="*/ 521026 w 655934"/>
            <a:gd name="connsiteY20" fmla="*/ 725714 h 790842"/>
            <a:gd name="connsiteX21" fmla="*/ 539634 w 655934"/>
            <a:gd name="connsiteY21" fmla="*/ 679194 h 790842"/>
            <a:gd name="connsiteX22" fmla="*/ 558242 w 655934"/>
            <a:gd name="connsiteY22" fmla="*/ 632674 h 790842"/>
            <a:gd name="connsiteX23" fmla="*/ 567546 w 655934"/>
            <a:gd name="connsiteY23" fmla="*/ 609414 h 790842"/>
            <a:gd name="connsiteX24" fmla="*/ 576850 w 655934"/>
            <a:gd name="connsiteY24" fmla="*/ 590806 h 790842"/>
            <a:gd name="connsiteX25" fmla="*/ 595458 w 655934"/>
            <a:gd name="connsiteY25" fmla="*/ 558242 h 790842"/>
            <a:gd name="connsiteX26" fmla="*/ 604762 w 655934"/>
            <a:gd name="connsiteY26" fmla="*/ 530330 h 790842"/>
            <a:gd name="connsiteX27" fmla="*/ 609414 w 655934"/>
            <a:gd name="connsiteY27" fmla="*/ 186080 h 790842"/>
            <a:gd name="connsiteX28" fmla="*/ 618718 w 655934"/>
            <a:gd name="connsiteY28" fmla="*/ 144212 h 790842"/>
            <a:gd name="connsiteX29" fmla="*/ 628022 w 655934"/>
            <a:gd name="connsiteY29" fmla="*/ 116300 h 790842"/>
            <a:gd name="connsiteX30" fmla="*/ 655934 w 655934"/>
            <a:gd name="connsiteY30" fmla="*/ 106996 h 7908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655934" h="790842">
              <a:moveTo>
                <a:pt x="558242" y="0"/>
              </a:moveTo>
              <a:cubicBezTo>
                <a:pt x="547387" y="1551"/>
                <a:pt x="536180" y="1501"/>
                <a:pt x="525678" y="4652"/>
              </a:cubicBezTo>
              <a:cubicBezTo>
                <a:pt x="504427" y="11027"/>
                <a:pt x="503692" y="35305"/>
                <a:pt x="493114" y="51172"/>
              </a:cubicBezTo>
              <a:lnTo>
                <a:pt x="483810" y="65128"/>
              </a:lnTo>
              <a:cubicBezTo>
                <a:pt x="482259" y="71331"/>
                <a:pt x="480498" y="77484"/>
                <a:pt x="479158" y="83736"/>
              </a:cubicBezTo>
              <a:cubicBezTo>
                <a:pt x="470793" y="122774"/>
                <a:pt x="470791" y="124637"/>
                <a:pt x="465202" y="158168"/>
              </a:cubicBezTo>
              <a:cubicBezTo>
                <a:pt x="462101" y="255860"/>
                <a:pt x="461811" y="353682"/>
                <a:pt x="455898" y="451245"/>
              </a:cubicBezTo>
              <a:cubicBezTo>
                <a:pt x="455560" y="456826"/>
                <a:pt x="449309" y="460314"/>
                <a:pt x="446594" y="465201"/>
              </a:cubicBezTo>
              <a:cubicBezTo>
                <a:pt x="427422" y="499711"/>
                <a:pt x="433143" y="506734"/>
                <a:pt x="390770" y="534982"/>
              </a:cubicBezTo>
              <a:cubicBezTo>
                <a:pt x="298830" y="596275"/>
                <a:pt x="317027" y="586381"/>
                <a:pt x="246557" y="628022"/>
              </a:cubicBezTo>
              <a:cubicBezTo>
                <a:pt x="228010" y="638981"/>
                <a:pt x="207282" y="646795"/>
                <a:pt x="190733" y="660586"/>
              </a:cubicBezTo>
              <a:cubicBezTo>
                <a:pt x="83980" y="749546"/>
                <a:pt x="177023" y="674358"/>
                <a:pt x="102345" y="730366"/>
              </a:cubicBezTo>
              <a:cubicBezTo>
                <a:pt x="94402" y="736323"/>
                <a:pt x="87541" y="743770"/>
                <a:pt x="79085" y="748974"/>
              </a:cubicBezTo>
              <a:cubicBezTo>
                <a:pt x="-31697" y="817147"/>
                <a:pt x="79484" y="746448"/>
                <a:pt x="27912" y="772234"/>
              </a:cubicBezTo>
              <a:cubicBezTo>
                <a:pt x="-8160" y="790270"/>
                <a:pt x="35079" y="774497"/>
                <a:pt x="0" y="786190"/>
              </a:cubicBezTo>
              <a:cubicBezTo>
                <a:pt x="6203" y="787741"/>
                <a:pt x="12214" y="790842"/>
                <a:pt x="18608" y="790842"/>
              </a:cubicBezTo>
              <a:cubicBezTo>
                <a:pt x="231555" y="790842"/>
                <a:pt x="-29899" y="785564"/>
                <a:pt x="106997" y="781538"/>
              </a:cubicBezTo>
              <a:cubicBezTo>
                <a:pt x="201560" y="778757"/>
                <a:pt x="296179" y="778437"/>
                <a:pt x="390770" y="776886"/>
              </a:cubicBezTo>
              <a:cubicBezTo>
                <a:pt x="404726" y="775335"/>
                <a:pt x="418768" y="774424"/>
                <a:pt x="432638" y="772234"/>
              </a:cubicBezTo>
              <a:cubicBezTo>
                <a:pt x="471648" y="766075"/>
                <a:pt x="467976" y="766657"/>
                <a:pt x="493114" y="758278"/>
              </a:cubicBezTo>
              <a:cubicBezTo>
                <a:pt x="502425" y="748967"/>
                <a:pt x="515058" y="737650"/>
                <a:pt x="521026" y="725714"/>
              </a:cubicBezTo>
              <a:cubicBezTo>
                <a:pt x="528495" y="710776"/>
                <a:pt x="533431" y="694701"/>
                <a:pt x="539634" y="679194"/>
              </a:cubicBezTo>
              <a:lnTo>
                <a:pt x="558242" y="632674"/>
              </a:lnTo>
              <a:cubicBezTo>
                <a:pt x="561343" y="624921"/>
                <a:pt x="563812" y="616883"/>
                <a:pt x="567546" y="609414"/>
              </a:cubicBezTo>
              <a:cubicBezTo>
                <a:pt x="570647" y="603211"/>
                <a:pt x="573409" y="596827"/>
                <a:pt x="576850" y="590806"/>
              </a:cubicBezTo>
              <a:cubicBezTo>
                <a:pt x="588040" y="571224"/>
                <a:pt x="586086" y="581672"/>
                <a:pt x="595458" y="558242"/>
              </a:cubicBezTo>
              <a:cubicBezTo>
                <a:pt x="599100" y="549136"/>
                <a:pt x="604762" y="530330"/>
                <a:pt x="604762" y="530330"/>
              </a:cubicBezTo>
              <a:cubicBezTo>
                <a:pt x="606313" y="415580"/>
                <a:pt x="606510" y="300804"/>
                <a:pt x="609414" y="186080"/>
              </a:cubicBezTo>
              <a:cubicBezTo>
                <a:pt x="609536" y="181245"/>
                <a:pt x="616825" y="150522"/>
                <a:pt x="618718" y="144212"/>
              </a:cubicBezTo>
              <a:cubicBezTo>
                <a:pt x="621536" y="134818"/>
                <a:pt x="618718" y="119401"/>
                <a:pt x="628022" y="116300"/>
              </a:cubicBezTo>
              <a:lnTo>
                <a:pt x="655934" y="10699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605542</xdr:colOff>
      <xdr:row>764</xdr:row>
      <xdr:rowOff>27912</xdr:rowOff>
    </xdr:from>
    <xdr:to>
      <xdr:col>7</xdr:col>
      <xdr:colOff>804799</xdr:colOff>
      <xdr:row>768</xdr:row>
      <xdr:rowOff>126194</xdr:rowOff>
    </xdr:to>
    <xdr:sp macro="" textlink="">
      <xdr:nvSpPr>
        <xdr:cNvPr id="30" name="Freeform 29">
          <a:extLst>
            <a:ext uri="{FF2B5EF4-FFF2-40B4-BE49-F238E27FC236}">
              <a16:creationId xmlns:a16="http://schemas.microsoft.com/office/drawing/2014/main" id="{DF6F10D7-F837-3C43-BA4E-EE5EC3F93411}"/>
            </a:ext>
          </a:extLst>
        </xdr:cNvPr>
        <xdr:cNvSpPr/>
      </xdr:nvSpPr>
      <xdr:spPr>
        <a:xfrm>
          <a:off x="13518446801" y="34292512"/>
          <a:ext cx="1024757" cy="911082"/>
        </a:xfrm>
        <a:custGeom>
          <a:avLst/>
          <a:gdLst>
            <a:gd name="connsiteX0" fmla="*/ 51172 w 1022664"/>
            <a:gd name="connsiteY0" fmla="*/ 0 h 917036"/>
            <a:gd name="connsiteX1" fmla="*/ 367509 w 1022664"/>
            <a:gd name="connsiteY1" fmla="*/ 158168 h 917036"/>
            <a:gd name="connsiteX2" fmla="*/ 521026 w 1022664"/>
            <a:gd name="connsiteY2" fmla="*/ 497765 h 917036"/>
            <a:gd name="connsiteX3" fmla="*/ 674542 w 1022664"/>
            <a:gd name="connsiteY3" fmla="*/ 739670 h 917036"/>
            <a:gd name="connsiteX4" fmla="*/ 1004835 w 1022664"/>
            <a:gd name="connsiteY4" fmla="*/ 776886 h 917036"/>
            <a:gd name="connsiteX5" fmla="*/ 907143 w 1022664"/>
            <a:gd name="connsiteY5" fmla="*/ 897838 h 917036"/>
            <a:gd name="connsiteX6" fmla="*/ 311685 w 1022664"/>
            <a:gd name="connsiteY6" fmla="*/ 855970 h 917036"/>
            <a:gd name="connsiteX7" fmla="*/ 204689 w 1022664"/>
            <a:gd name="connsiteY7" fmla="*/ 334945 h 917036"/>
            <a:gd name="connsiteX8" fmla="*/ 0 w 1022664"/>
            <a:gd name="connsiteY8" fmla="*/ 55824 h 9170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022664" h="917036">
              <a:moveTo>
                <a:pt x="51172" y="0"/>
              </a:moveTo>
              <a:cubicBezTo>
                <a:pt x="170186" y="37603"/>
                <a:pt x="289200" y="75207"/>
                <a:pt x="367509" y="158168"/>
              </a:cubicBezTo>
              <a:cubicBezTo>
                <a:pt x="445818" y="241129"/>
                <a:pt x="469854" y="400848"/>
                <a:pt x="521026" y="497765"/>
              </a:cubicBezTo>
              <a:cubicBezTo>
                <a:pt x="572198" y="594682"/>
                <a:pt x="593907" y="693150"/>
                <a:pt x="674542" y="739670"/>
              </a:cubicBezTo>
              <a:cubicBezTo>
                <a:pt x="755177" y="786190"/>
                <a:pt x="966068" y="750525"/>
                <a:pt x="1004835" y="776886"/>
              </a:cubicBezTo>
              <a:cubicBezTo>
                <a:pt x="1043602" y="803247"/>
                <a:pt x="1022668" y="884657"/>
                <a:pt x="907143" y="897838"/>
              </a:cubicBezTo>
              <a:cubicBezTo>
                <a:pt x="791618" y="911019"/>
                <a:pt x="428761" y="949786"/>
                <a:pt x="311685" y="855970"/>
              </a:cubicBezTo>
              <a:cubicBezTo>
                <a:pt x="194609" y="762154"/>
                <a:pt x="256636" y="468303"/>
                <a:pt x="204689" y="334945"/>
              </a:cubicBezTo>
              <a:cubicBezTo>
                <a:pt x="152742" y="201587"/>
                <a:pt x="76371" y="128705"/>
                <a:pt x="0" y="55824"/>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725715</xdr:colOff>
      <xdr:row>758</xdr:row>
      <xdr:rowOff>111558</xdr:rowOff>
    </xdr:from>
    <xdr:to>
      <xdr:col>8</xdr:col>
      <xdr:colOff>298993</xdr:colOff>
      <xdr:row>759</xdr:row>
      <xdr:rowOff>29220</xdr:rowOff>
    </xdr:to>
    <xdr:sp macro="" textlink="">
      <xdr:nvSpPr>
        <xdr:cNvPr id="31" name="Freeform 30">
          <a:extLst>
            <a:ext uri="{FF2B5EF4-FFF2-40B4-BE49-F238E27FC236}">
              <a16:creationId xmlns:a16="http://schemas.microsoft.com/office/drawing/2014/main" id="{B2A8D435-9CE5-454E-A463-E50E1EECA50D}"/>
            </a:ext>
          </a:extLst>
        </xdr:cNvPr>
        <xdr:cNvSpPr/>
      </xdr:nvSpPr>
      <xdr:spPr>
        <a:xfrm>
          <a:off x="13518089007" y="33156958"/>
          <a:ext cx="436878" cy="120862"/>
        </a:xfrm>
        <a:custGeom>
          <a:avLst/>
          <a:gdLst>
            <a:gd name="connsiteX0" fmla="*/ 57087 w 396684"/>
            <a:gd name="connsiteY0" fmla="*/ 79174 h 122350"/>
            <a:gd name="connsiteX1" fmla="*/ 89651 w 396684"/>
            <a:gd name="connsiteY1" fmla="*/ 90 h 122350"/>
            <a:gd name="connsiteX2" fmla="*/ 117564 w 396684"/>
            <a:gd name="connsiteY2" fmla="*/ 9394 h 122350"/>
            <a:gd name="connsiteX3" fmla="*/ 126868 w 396684"/>
            <a:gd name="connsiteY3" fmla="*/ 23350 h 122350"/>
            <a:gd name="connsiteX4" fmla="*/ 122216 w 396684"/>
            <a:gd name="connsiteY4" fmla="*/ 60566 h 122350"/>
            <a:gd name="connsiteX5" fmla="*/ 98956 w 396684"/>
            <a:gd name="connsiteY5" fmla="*/ 65218 h 122350"/>
            <a:gd name="connsiteX6" fmla="*/ 75695 w 396684"/>
            <a:gd name="connsiteY6" fmla="*/ 60566 h 122350"/>
            <a:gd name="connsiteX7" fmla="*/ 80347 w 396684"/>
            <a:gd name="connsiteY7" fmla="*/ 28002 h 122350"/>
            <a:gd name="connsiteX8" fmla="*/ 94303 w 396684"/>
            <a:gd name="connsiteY8" fmla="*/ 23350 h 122350"/>
            <a:gd name="connsiteX9" fmla="*/ 131520 w 396684"/>
            <a:gd name="connsiteY9" fmla="*/ 32654 h 122350"/>
            <a:gd name="connsiteX10" fmla="*/ 154780 w 396684"/>
            <a:gd name="connsiteY10" fmla="*/ 69870 h 122350"/>
            <a:gd name="connsiteX11" fmla="*/ 140824 w 396684"/>
            <a:gd name="connsiteY11" fmla="*/ 79174 h 122350"/>
            <a:gd name="connsiteX12" fmla="*/ 122216 w 396684"/>
            <a:gd name="connsiteY12" fmla="*/ 41958 h 122350"/>
            <a:gd name="connsiteX13" fmla="*/ 126868 w 396684"/>
            <a:gd name="connsiteY13" fmla="*/ 23350 h 122350"/>
            <a:gd name="connsiteX14" fmla="*/ 238516 w 396684"/>
            <a:gd name="connsiteY14" fmla="*/ 41958 h 122350"/>
            <a:gd name="connsiteX15" fmla="*/ 229212 w 396684"/>
            <a:gd name="connsiteY15" fmla="*/ 60566 h 122350"/>
            <a:gd name="connsiteX16" fmla="*/ 182692 w 396684"/>
            <a:gd name="connsiteY16" fmla="*/ 41958 h 122350"/>
            <a:gd name="connsiteX17" fmla="*/ 178040 w 396684"/>
            <a:gd name="connsiteY17" fmla="*/ 28002 h 122350"/>
            <a:gd name="connsiteX18" fmla="*/ 187344 w 396684"/>
            <a:gd name="connsiteY18" fmla="*/ 4742 h 122350"/>
            <a:gd name="connsiteX19" fmla="*/ 247820 w 396684"/>
            <a:gd name="connsiteY19" fmla="*/ 18698 h 122350"/>
            <a:gd name="connsiteX20" fmla="*/ 257124 w 396684"/>
            <a:gd name="connsiteY20" fmla="*/ 37306 h 122350"/>
            <a:gd name="connsiteX21" fmla="*/ 261776 w 396684"/>
            <a:gd name="connsiteY21" fmla="*/ 51262 h 122350"/>
            <a:gd name="connsiteX22" fmla="*/ 247820 w 396684"/>
            <a:gd name="connsiteY22" fmla="*/ 60566 h 122350"/>
            <a:gd name="connsiteX23" fmla="*/ 224560 w 396684"/>
            <a:gd name="connsiteY23" fmla="*/ 55914 h 122350"/>
            <a:gd name="connsiteX24" fmla="*/ 229212 w 396684"/>
            <a:gd name="connsiteY24" fmla="*/ 4742 h 122350"/>
            <a:gd name="connsiteX25" fmla="*/ 294340 w 396684"/>
            <a:gd name="connsiteY25" fmla="*/ 28002 h 122350"/>
            <a:gd name="connsiteX26" fmla="*/ 308296 w 396684"/>
            <a:gd name="connsiteY26" fmla="*/ 46610 h 122350"/>
            <a:gd name="connsiteX27" fmla="*/ 326904 w 396684"/>
            <a:gd name="connsiteY27" fmla="*/ 74522 h 122350"/>
            <a:gd name="connsiteX28" fmla="*/ 317600 w 396684"/>
            <a:gd name="connsiteY28" fmla="*/ 102434 h 122350"/>
            <a:gd name="connsiteX29" fmla="*/ 289688 w 396684"/>
            <a:gd name="connsiteY29" fmla="*/ 97782 h 122350"/>
            <a:gd name="connsiteX30" fmla="*/ 275732 w 396684"/>
            <a:gd name="connsiteY30" fmla="*/ 65218 h 122350"/>
            <a:gd name="connsiteX31" fmla="*/ 289688 w 396684"/>
            <a:gd name="connsiteY31" fmla="*/ 37306 h 122350"/>
            <a:gd name="connsiteX32" fmla="*/ 331556 w 396684"/>
            <a:gd name="connsiteY32" fmla="*/ 37306 h 122350"/>
            <a:gd name="connsiteX33" fmla="*/ 340860 w 396684"/>
            <a:gd name="connsiteY33" fmla="*/ 51262 h 122350"/>
            <a:gd name="connsiteX34" fmla="*/ 350164 w 396684"/>
            <a:gd name="connsiteY34" fmla="*/ 93130 h 122350"/>
            <a:gd name="connsiteX35" fmla="*/ 345512 w 396684"/>
            <a:gd name="connsiteY35" fmla="*/ 111738 h 122350"/>
            <a:gd name="connsiteX36" fmla="*/ 326904 w 396684"/>
            <a:gd name="connsiteY36" fmla="*/ 107086 h 122350"/>
            <a:gd name="connsiteX37" fmla="*/ 322252 w 396684"/>
            <a:gd name="connsiteY37" fmla="*/ 93130 h 122350"/>
            <a:gd name="connsiteX38" fmla="*/ 317600 w 396684"/>
            <a:gd name="connsiteY38" fmla="*/ 69870 h 122350"/>
            <a:gd name="connsiteX39" fmla="*/ 322252 w 396684"/>
            <a:gd name="connsiteY39" fmla="*/ 32654 h 122350"/>
            <a:gd name="connsiteX40" fmla="*/ 368772 w 396684"/>
            <a:gd name="connsiteY40" fmla="*/ 46610 h 122350"/>
            <a:gd name="connsiteX41" fmla="*/ 387380 w 396684"/>
            <a:gd name="connsiteY41" fmla="*/ 83826 h 122350"/>
            <a:gd name="connsiteX42" fmla="*/ 382728 w 396684"/>
            <a:gd name="connsiteY42" fmla="*/ 107086 h 122350"/>
            <a:gd name="connsiteX43" fmla="*/ 364120 w 396684"/>
            <a:gd name="connsiteY43" fmla="*/ 111738 h 122350"/>
            <a:gd name="connsiteX44" fmla="*/ 359468 w 396684"/>
            <a:gd name="connsiteY44" fmla="*/ 55914 h 122350"/>
            <a:gd name="connsiteX45" fmla="*/ 378076 w 396684"/>
            <a:gd name="connsiteY45" fmla="*/ 51262 h 122350"/>
            <a:gd name="connsiteX46" fmla="*/ 392032 w 396684"/>
            <a:gd name="connsiteY46" fmla="*/ 65218 h 122350"/>
            <a:gd name="connsiteX47" fmla="*/ 392032 w 396684"/>
            <a:gd name="connsiteY47" fmla="*/ 97782 h 122350"/>
            <a:gd name="connsiteX48" fmla="*/ 368772 w 396684"/>
            <a:gd name="connsiteY48" fmla="*/ 111738 h 122350"/>
            <a:gd name="connsiteX49" fmla="*/ 312948 w 396684"/>
            <a:gd name="connsiteY49" fmla="*/ 83826 h 122350"/>
            <a:gd name="connsiteX50" fmla="*/ 308296 w 396684"/>
            <a:gd name="connsiteY50" fmla="*/ 69870 h 122350"/>
            <a:gd name="connsiteX51" fmla="*/ 312948 w 396684"/>
            <a:gd name="connsiteY51" fmla="*/ 28002 h 122350"/>
            <a:gd name="connsiteX52" fmla="*/ 364120 w 396684"/>
            <a:gd name="connsiteY52" fmla="*/ 60566 h 122350"/>
            <a:gd name="connsiteX53" fmla="*/ 350164 w 396684"/>
            <a:gd name="connsiteY53" fmla="*/ 107086 h 122350"/>
            <a:gd name="connsiteX54" fmla="*/ 266428 w 396684"/>
            <a:gd name="connsiteY54" fmla="*/ 111738 h 122350"/>
            <a:gd name="connsiteX55" fmla="*/ 233864 w 396684"/>
            <a:gd name="connsiteY55" fmla="*/ 74522 h 122350"/>
            <a:gd name="connsiteX56" fmla="*/ 224560 w 396684"/>
            <a:gd name="connsiteY56" fmla="*/ 51262 h 122350"/>
            <a:gd name="connsiteX57" fmla="*/ 229212 w 396684"/>
            <a:gd name="connsiteY57" fmla="*/ 23350 h 122350"/>
            <a:gd name="connsiteX58" fmla="*/ 289688 w 396684"/>
            <a:gd name="connsiteY58" fmla="*/ 18698 h 122350"/>
            <a:gd name="connsiteX59" fmla="*/ 303644 w 396684"/>
            <a:gd name="connsiteY59" fmla="*/ 28002 h 122350"/>
            <a:gd name="connsiteX60" fmla="*/ 303644 w 396684"/>
            <a:gd name="connsiteY60" fmla="*/ 65218 h 122350"/>
            <a:gd name="connsiteX61" fmla="*/ 275732 w 396684"/>
            <a:gd name="connsiteY61" fmla="*/ 79174 h 122350"/>
            <a:gd name="connsiteX62" fmla="*/ 210604 w 396684"/>
            <a:gd name="connsiteY62" fmla="*/ 60566 h 122350"/>
            <a:gd name="connsiteX63" fmla="*/ 205952 w 396684"/>
            <a:gd name="connsiteY63" fmla="*/ 46610 h 122350"/>
            <a:gd name="connsiteX64" fmla="*/ 210604 w 396684"/>
            <a:gd name="connsiteY64" fmla="*/ 28002 h 122350"/>
            <a:gd name="connsiteX65" fmla="*/ 271080 w 396684"/>
            <a:gd name="connsiteY65" fmla="*/ 18698 h 122350"/>
            <a:gd name="connsiteX66" fmla="*/ 280384 w 396684"/>
            <a:gd name="connsiteY66" fmla="*/ 51262 h 122350"/>
            <a:gd name="connsiteX67" fmla="*/ 252472 w 396684"/>
            <a:gd name="connsiteY67" fmla="*/ 97782 h 122350"/>
            <a:gd name="connsiteX68" fmla="*/ 238516 w 396684"/>
            <a:gd name="connsiteY68" fmla="*/ 102434 h 122350"/>
            <a:gd name="connsiteX69" fmla="*/ 201300 w 396684"/>
            <a:gd name="connsiteY69" fmla="*/ 97782 h 122350"/>
            <a:gd name="connsiteX70" fmla="*/ 173388 w 396684"/>
            <a:gd name="connsiteY70" fmla="*/ 65218 h 122350"/>
            <a:gd name="connsiteX71" fmla="*/ 182692 w 396684"/>
            <a:gd name="connsiteY71" fmla="*/ 4742 h 122350"/>
            <a:gd name="connsiteX72" fmla="*/ 229212 w 396684"/>
            <a:gd name="connsiteY72" fmla="*/ 9394 h 122350"/>
            <a:gd name="connsiteX73" fmla="*/ 238516 w 396684"/>
            <a:gd name="connsiteY73" fmla="*/ 23350 h 122350"/>
            <a:gd name="connsiteX74" fmla="*/ 238516 w 396684"/>
            <a:gd name="connsiteY74" fmla="*/ 60566 h 122350"/>
            <a:gd name="connsiteX75" fmla="*/ 215256 w 396684"/>
            <a:gd name="connsiteY75" fmla="*/ 74522 h 122350"/>
            <a:gd name="connsiteX76" fmla="*/ 168736 w 396684"/>
            <a:gd name="connsiteY76" fmla="*/ 55914 h 122350"/>
            <a:gd name="connsiteX77" fmla="*/ 164084 w 396684"/>
            <a:gd name="connsiteY77" fmla="*/ 41958 h 122350"/>
            <a:gd name="connsiteX78" fmla="*/ 173388 w 396684"/>
            <a:gd name="connsiteY78" fmla="*/ 9394 h 122350"/>
            <a:gd name="connsiteX79" fmla="*/ 210604 w 396684"/>
            <a:gd name="connsiteY79" fmla="*/ 32654 h 122350"/>
            <a:gd name="connsiteX80" fmla="*/ 205952 w 396684"/>
            <a:gd name="connsiteY80" fmla="*/ 74522 h 122350"/>
            <a:gd name="connsiteX81" fmla="*/ 159432 w 396684"/>
            <a:gd name="connsiteY81" fmla="*/ 79174 h 122350"/>
            <a:gd name="connsiteX82" fmla="*/ 150128 w 396684"/>
            <a:gd name="connsiteY82" fmla="*/ 65218 h 122350"/>
            <a:gd name="connsiteX83" fmla="*/ 154780 w 396684"/>
            <a:gd name="connsiteY83" fmla="*/ 14046 h 122350"/>
            <a:gd name="connsiteX84" fmla="*/ 196648 w 396684"/>
            <a:gd name="connsiteY84" fmla="*/ 23350 h 122350"/>
            <a:gd name="connsiteX85" fmla="*/ 168736 w 396684"/>
            <a:gd name="connsiteY85" fmla="*/ 79174 h 122350"/>
            <a:gd name="connsiteX86" fmla="*/ 140824 w 396684"/>
            <a:gd name="connsiteY86" fmla="*/ 69870 h 122350"/>
            <a:gd name="connsiteX87" fmla="*/ 126868 w 396684"/>
            <a:gd name="connsiteY87" fmla="*/ 37306 h 122350"/>
            <a:gd name="connsiteX88" fmla="*/ 131520 w 396684"/>
            <a:gd name="connsiteY88" fmla="*/ 23350 h 122350"/>
            <a:gd name="connsiteX89" fmla="*/ 187344 w 396684"/>
            <a:gd name="connsiteY89" fmla="*/ 23350 h 122350"/>
            <a:gd name="connsiteX90" fmla="*/ 196648 w 396684"/>
            <a:gd name="connsiteY90" fmla="*/ 37306 h 122350"/>
            <a:gd name="connsiteX91" fmla="*/ 173388 w 396684"/>
            <a:gd name="connsiteY91" fmla="*/ 102434 h 122350"/>
            <a:gd name="connsiteX92" fmla="*/ 159432 w 396684"/>
            <a:gd name="connsiteY92" fmla="*/ 107086 h 122350"/>
            <a:gd name="connsiteX93" fmla="*/ 117564 w 396684"/>
            <a:gd name="connsiteY93" fmla="*/ 97782 h 122350"/>
            <a:gd name="connsiteX94" fmla="*/ 89651 w 396684"/>
            <a:gd name="connsiteY94" fmla="*/ 65218 h 122350"/>
            <a:gd name="connsiteX95" fmla="*/ 94303 w 396684"/>
            <a:gd name="connsiteY95" fmla="*/ 32654 h 122350"/>
            <a:gd name="connsiteX96" fmla="*/ 112912 w 396684"/>
            <a:gd name="connsiteY96" fmla="*/ 28002 h 122350"/>
            <a:gd name="connsiteX97" fmla="*/ 154780 w 396684"/>
            <a:gd name="connsiteY97" fmla="*/ 37306 h 122350"/>
            <a:gd name="connsiteX98" fmla="*/ 159432 w 396684"/>
            <a:gd name="connsiteY98" fmla="*/ 102434 h 122350"/>
            <a:gd name="connsiteX99" fmla="*/ 131520 w 396684"/>
            <a:gd name="connsiteY99" fmla="*/ 116390 h 122350"/>
            <a:gd name="connsiteX100" fmla="*/ 98956 w 396684"/>
            <a:gd name="connsiteY100" fmla="*/ 111738 h 122350"/>
            <a:gd name="connsiteX101" fmla="*/ 84999 w 396684"/>
            <a:gd name="connsiteY101" fmla="*/ 97782 h 122350"/>
            <a:gd name="connsiteX102" fmla="*/ 71043 w 396684"/>
            <a:gd name="connsiteY102" fmla="*/ 69870 h 122350"/>
            <a:gd name="connsiteX103" fmla="*/ 80347 w 396684"/>
            <a:gd name="connsiteY103" fmla="*/ 41958 h 122350"/>
            <a:gd name="connsiteX104" fmla="*/ 136172 w 396684"/>
            <a:gd name="connsiteY104" fmla="*/ 69870 h 122350"/>
            <a:gd name="connsiteX105" fmla="*/ 131520 w 396684"/>
            <a:gd name="connsiteY105" fmla="*/ 107086 h 122350"/>
            <a:gd name="connsiteX106" fmla="*/ 117564 w 396684"/>
            <a:gd name="connsiteY106" fmla="*/ 111738 h 122350"/>
            <a:gd name="connsiteX107" fmla="*/ 75695 w 396684"/>
            <a:gd name="connsiteY107" fmla="*/ 97782 h 122350"/>
            <a:gd name="connsiteX108" fmla="*/ 57087 w 396684"/>
            <a:gd name="connsiteY108" fmla="*/ 83826 h 122350"/>
            <a:gd name="connsiteX109" fmla="*/ 43131 w 396684"/>
            <a:gd name="connsiteY109" fmla="*/ 55914 h 122350"/>
            <a:gd name="connsiteX110" fmla="*/ 52435 w 396684"/>
            <a:gd name="connsiteY110" fmla="*/ 41958 h 122350"/>
            <a:gd name="connsiteX111" fmla="*/ 84999 w 396684"/>
            <a:gd name="connsiteY111" fmla="*/ 74522 h 122350"/>
            <a:gd name="connsiteX112" fmla="*/ 75695 w 396684"/>
            <a:gd name="connsiteY112" fmla="*/ 97782 h 122350"/>
            <a:gd name="connsiteX113" fmla="*/ 29175 w 396684"/>
            <a:gd name="connsiteY113" fmla="*/ 74522 h 122350"/>
            <a:gd name="connsiteX114" fmla="*/ 19871 w 396684"/>
            <a:gd name="connsiteY114" fmla="*/ 60566 h 122350"/>
            <a:gd name="connsiteX115" fmla="*/ 24523 w 396684"/>
            <a:gd name="connsiteY115" fmla="*/ 32654 h 122350"/>
            <a:gd name="connsiteX116" fmla="*/ 75695 w 396684"/>
            <a:gd name="connsiteY116" fmla="*/ 51262 h 122350"/>
            <a:gd name="connsiteX117" fmla="*/ 80347 w 396684"/>
            <a:gd name="connsiteY117" fmla="*/ 65218 h 122350"/>
            <a:gd name="connsiteX118" fmla="*/ 71043 w 396684"/>
            <a:gd name="connsiteY118" fmla="*/ 97782 h 122350"/>
            <a:gd name="connsiteX119" fmla="*/ 33827 w 396684"/>
            <a:gd name="connsiteY119" fmla="*/ 97782 h 122350"/>
            <a:gd name="connsiteX120" fmla="*/ 5915 w 396684"/>
            <a:gd name="connsiteY120" fmla="*/ 60566 h 122350"/>
            <a:gd name="connsiteX121" fmla="*/ 19871 w 396684"/>
            <a:gd name="connsiteY121" fmla="*/ 37306 h 122350"/>
            <a:gd name="connsiteX122" fmla="*/ 52435 w 396684"/>
            <a:gd name="connsiteY122" fmla="*/ 41958 h 122350"/>
            <a:gd name="connsiteX123" fmla="*/ 57087 w 396684"/>
            <a:gd name="connsiteY123" fmla="*/ 60566 h 122350"/>
            <a:gd name="connsiteX124" fmla="*/ 29175 w 396684"/>
            <a:gd name="connsiteY124" fmla="*/ 102434 h 122350"/>
            <a:gd name="connsiteX125" fmla="*/ 5915 w 396684"/>
            <a:gd name="connsiteY125" fmla="*/ 74522 h 122350"/>
            <a:gd name="connsiteX126" fmla="*/ 15219 w 396684"/>
            <a:gd name="connsiteY126" fmla="*/ 55914 h 122350"/>
            <a:gd name="connsiteX127" fmla="*/ 38479 w 396684"/>
            <a:gd name="connsiteY127" fmla="*/ 65218 h 122350"/>
            <a:gd name="connsiteX128" fmla="*/ 38479 w 396684"/>
            <a:gd name="connsiteY128" fmla="*/ 102434 h 122350"/>
            <a:gd name="connsiteX129" fmla="*/ 24523 w 396684"/>
            <a:gd name="connsiteY129" fmla="*/ 107086 h 122350"/>
            <a:gd name="connsiteX130" fmla="*/ 1263 w 396684"/>
            <a:gd name="connsiteY130" fmla="*/ 79174 h 122350"/>
            <a:gd name="connsiteX131" fmla="*/ 15219 w 396684"/>
            <a:gd name="connsiteY131" fmla="*/ 69870 h 122350"/>
            <a:gd name="connsiteX132" fmla="*/ 57087 w 396684"/>
            <a:gd name="connsiteY132" fmla="*/ 79174 h 1223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Lst>
          <a:rect l="l" t="t" r="r" b="b"/>
          <a:pathLst>
            <a:path w="396684" h="122350">
              <a:moveTo>
                <a:pt x="57087" y="79174"/>
              </a:moveTo>
              <a:cubicBezTo>
                <a:pt x="57844" y="75643"/>
                <a:pt x="58458" y="3209"/>
                <a:pt x="89651" y="90"/>
              </a:cubicBezTo>
              <a:cubicBezTo>
                <a:pt x="99410" y="-886"/>
                <a:pt x="108260" y="6293"/>
                <a:pt x="117564" y="9394"/>
              </a:cubicBezTo>
              <a:cubicBezTo>
                <a:pt x="120665" y="14046"/>
                <a:pt x="124666" y="18211"/>
                <a:pt x="126868" y="23350"/>
              </a:cubicBezTo>
              <a:cubicBezTo>
                <a:pt x="131935" y="35173"/>
                <a:pt x="135754" y="50896"/>
                <a:pt x="122216" y="60566"/>
              </a:cubicBezTo>
              <a:cubicBezTo>
                <a:pt x="115782" y="65162"/>
                <a:pt x="106709" y="63667"/>
                <a:pt x="98956" y="65218"/>
              </a:cubicBezTo>
              <a:cubicBezTo>
                <a:pt x="91202" y="63667"/>
                <a:pt x="82129" y="65162"/>
                <a:pt x="75695" y="60566"/>
              </a:cubicBezTo>
              <a:cubicBezTo>
                <a:pt x="56845" y="47102"/>
                <a:pt x="67752" y="36399"/>
                <a:pt x="80347" y="28002"/>
              </a:cubicBezTo>
              <a:cubicBezTo>
                <a:pt x="84427" y="25282"/>
                <a:pt x="89651" y="24901"/>
                <a:pt x="94303" y="23350"/>
              </a:cubicBezTo>
              <a:cubicBezTo>
                <a:pt x="106709" y="26451"/>
                <a:pt x="120294" y="26531"/>
                <a:pt x="131520" y="32654"/>
              </a:cubicBezTo>
              <a:cubicBezTo>
                <a:pt x="139824" y="37183"/>
                <a:pt x="150786" y="61882"/>
                <a:pt x="154780" y="69870"/>
              </a:cubicBezTo>
              <a:cubicBezTo>
                <a:pt x="150128" y="72971"/>
                <a:pt x="145825" y="81674"/>
                <a:pt x="140824" y="79174"/>
              </a:cubicBezTo>
              <a:cubicBezTo>
                <a:pt x="132035" y="74780"/>
                <a:pt x="125557" y="51980"/>
                <a:pt x="122216" y="41958"/>
              </a:cubicBezTo>
              <a:cubicBezTo>
                <a:pt x="123767" y="35755"/>
                <a:pt x="120528" y="24177"/>
                <a:pt x="126868" y="23350"/>
              </a:cubicBezTo>
              <a:cubicBezTo>
                <a:pt x="223154" y="10791"/>
                <a:pt x="212175" y="2447"/>
                <a:pt x="238516" y="41958"/>
              </a:cubicBezTo>
              <a:cubicBezTo>
                <a:pt x="235415" y="48161"/>
                <a:pt x="235854" y="58573"/>
                <a:pt x="229212" y="60566"/>
              </a:cubicBezTo>
              <a:cubicBezTo>
                <a:pt x="202244" y="68656"/>
                <a:pt x="191867" y="60307"/>
                <a:pt x="182692" y="41958"/>
              </a:cubicBezTo>
              <a:cubicBezTo>
                <a:pt x="180499" y="37572"/>
                <a:pt x="179591" y="32654"/>
                <a:pt x="178040" y="28002"/>
              </a:cubicBezTo>
              <a:cubicBezTo>
                <a:pt x="181141" y="20249"/>
                <a:pt x="179422" y="7383"/>
                <a:pt x="187344" y="4742"/>
              </a:cubicBezTo>
              <a:cubicBezTo>
                <a:pt x="216858" y="-5096"/>
                <a:pt x="228994" y="6148"/>
                <a:pt x="247820" y="18698"/>
              </a:cubicBezTo>
              <a:cubicBezTo>
                <a:pt x="250921" y="24901"/>
                <a:pt x="254392" y="30932"/>
                <a:pt x="257124" y="37306"/>
              </a:cubicBezTo>
              <a:cubicBezTo>
                <a:pt x="259056" y="41813"/>
                <a:pt x="263597" y="46709"/>
                <a:pt x="261776" y="51262"/>
              </a:cubicBezTo>
              <a:cubicBezTo>
                <a:pt x="259700" y="56453"/>
                <a:pt x="252472" y="57465"/>
                <a:pt x="247820" y="60566"/>
              </a:cubicBezTo>
              <a:cubicBezTo>
                <a:pt x="240067" y="59015"/>
                <a:pt x="230563" y="61060"/>
                <a:pt x="224560" y="55914"/>
              </a:cubicBezTo>
              <a:cubicBezTo>
                <a:pt x="203822" y="38138"/>
                <a:pt x="220953" y="21260"/>
                <a:pt x="229212" y="4742"/>
              </a:cubicBezTo>
              <a:cubicBezTo>
                <a:pt x="275166" y="13097"/>
                <a:pt x="272561" y="2594"/>
                <a:pt x="294340" y="28002"/>
              </a:cubicBezTo>
              <a:cubicBezTo>
                <a:pt x="299386" y="33889"/>
                <a:pt x="303850" y="40258"/>
                <a:pt x="308296" y="46610"/>
              </a:cubicBezTo>
              <a:cubicBezTo>
                <a:pt x="314708" y="55771"/>
                <a:pt x="326904" y="74522"/>
                <a:pt x="326904" y="74522"/>
              </a:cubicBezTo>
              <a:cubicBezTo>
                <a:pt x="323803" y="83826"/>
                <a:pt x="325917" y="97236"/>
                <a:pt x="317600" y="102434"/>
              </a:cubicBezTo>
              <a:cubicBezTo>
                <a:pt x="309601" y="107433"/>
                <a:pt x="297687" y="102781"/>
                <a:pt x="289688" y="97782"/>
              </a:cubicBezTo>
              <a:cubicBezTo>
                <a:pt x="284847" y="94756"/>
                <a:pt x="277870" y="71633"/>
                <a:pt x="275732" y="65218"/>
              </a:cubicBezTo>
              <a:cubicBezTo>
                <a:pt x="280384" y="55914"/>
                <a:pt x="282333" y="44661"/>
                <a:pt x="289688" y="37306"/>
              </a:cubicBezTo>
              <a:cubicBezTo>
                <a:pt x="299543" y="27451"/>
                <a:pt x="322338" y="35462"/>
                <a:pt x="331556" y="37306"/>
              </a:cubicBezTo>
              <a:cubicBezTo>
                <a:pt x="334657" y="41958"/>
                <a:pt x="338360" y="46261"/>
                <a:pt x="340860" y="51262"/>
              </a:cubicBezTo>
              <a:cubicBezTo>
                <a:pt x="346586" y="62714"/>
                <a:pt x="348377" y="82410"/>
                <a:pt x="350164" y="93130"/>
              </a:cubicBezTo>
              <a:cubicBezTo>
                <a:pt x="348613" y="99333"/>
                <a:pt x="350994" y="108449"/>
                <a:pt x="345512" y="111738"/>
              </a:cubicBezTo>
              <a:cubicBezTo>
                <a:pt x="340030" y="115027"/>
                <a:pt x="331897" y="111080"/>
                <a:pt x="326904" y="107086"/>
              </a:cubicBezTo>
              <a:cubicBezTo>
                <a:pt x="323075" y="104023"/>
                <a:pt x="323441" y="97887"/>
                <a:pt x="322252" y="93130"/>
              </a:cubicBezTo>
              <a:cubicBezTo>
                <a:pt x="320334" y="85459"/>
                <a:pt x="319151" y="77623"/>
                <a:pt x="317600" y="69870"/>
              </a:cubicBezTo>
              <a:cubicBezTo>
                <a:pt x="319151" y="57465"/>
                <a:pt x="312843" y="40887"/>
                <a:pt x="322252" y="32654"/>
              </a:cubicBezTo>
              <a:cubicBezTo>
                <a:pt x="335197" y="21327"/>
                <a:pt x="358519" y="39775"/>
                <a:pt x="368772" y="46610"/>
              </a:cubicBezTo>
              <a:cubicBezTo>
                <a:pt x="375985" y="57429"/>
                <a:pt x="386041" y="70437"/>
                <a:pt x="387380" y="83826"/>
              </a:cubicBezTo>
              <a:cubicBezTo>
                <a:pt x="388167" y="91694"/>
                <a:pt x="387790" y="101012"/>
                <a:pt x="382728" y="107086"/>
              </a:cubicBezTo>
              <a:cubicBezTo>
                <a:pt x="378635" y="111998"/>
                <a:pt x="370323" y="110187"/>
                <a:pt x="364120" y="111738"/>
              </a:cubicBezTo>
              <a:cubicBezTo>
                <a:pt x="351175" y="90163"/>
                <a:pt x="339166" y="82983"/>
                <a:pt x="359468" y="55914"/>
              </a:cubicBezTo>
              <a:cubicBezTo>
                <a:pt x="363304" y="50799"/>
                <a:pt x="371873" y="52813"/>
                <a:pt x="378076" y="51262"/>
              </a:cubicBezTo>
              <a:cubicBezTo>
                <a:pt x="382728" y="55914"/>
                <a:pt x="388768" y="59506"/>
                <a:pt x="392032" y="65218"/>
              </a:cubicBezTo>
              <a:cubicBezTo>
                <a:pt x="396324" y="72729"/>
                <a:pt x="399894" y="89920"/>
                <a:pt x="392032" y="97782"/>
              </a:cubicBezTo>
              <a:cubicBezTo>
                <a:pt x="385638" y="104176"/>
                <a:pt x="376525" y="107086"/>
                <a:pt x="368772" y="111738"/>
              </a:cubicBezTo>
              <a:cubicBezTo>
                <a:pt x="330667" y="103270"/>
                <a:pt x="329336" y="112505"/>
                <a:pt x="312948" y="83826"/>
              </a:cubicBezTo>
              <a:cubicBezTo>
                <a:pt x="310515" y="79568"/>
                <a:pt x="309847" y="74522"/>
                <a:pt x="308296" y="69870"/>
              </a:cubicBezTo>
              <a:cubicBezTo>
                <a:pt x="309847" y="55914"/>
                <a:pt x="301101" y="35541"/>
                <a:pt x="312948" y="28002"/>
              </a:cubicBezTo>
              <a:cubicBezTo>
                <a:pt x="359168" y="-1411"/>
                <a:pt x="360393" y="41933"/>
                <a:pt x="364120" y="60566"/>
              </a:cubicBezTo>
              <a:cubicBezTo>
                <a:pt x="359468" y="76073"/>
                <a:pt x="357839" y="92832"/>
                <a:pt x="350164" y="107086"/>
              </a:cubicBezTo>
              <a:cubicBezTo>
                <a:pt x="334025" y="137059"/>
                <a:pt x="282627" y="114052"/>
                <a:pt x="266428" y="111738"/>
              </a:cubicBezTo>
              <a:cubicBezTo>
                <a:pt x="255022" y="100332"/>
                <a:pt x="241872" y="88936"/>
                <a:pt x="233864" y="74522"/>
              </a:cubicBezTo>
              <a:cubicBezTo>
                <a:pt x="229809" y="67222"/>
                <a:pt x="227661" y="59015"/>
                <a:pt x="224560" y="51262"/>
              </a:cubicBezTo>
              <a:cubicBezTo>
                <a:pt x="226111" y="41958"/>
                <a:pt x="223001" y="30449"/>
                <a:pt x="229212" y="23350"/>
              </a:cubicBezTo>
              <a:cubicBezTo>
                <a:pt x="243402" y="7132"/>
                <a:pt x="274386" y="16512"/>
                <a:pt x="289688" y="18698"/>
              </a:cubicBezTo>
              <a:cubicBezTo>
                <a:pt x="294340" y="21799"/>
                <a:pt x="300151" y="23636"/>
                <a:pt x="303644" y="28002"/>
              </a:cubicBezTo>
              <a:cubicBezTo>
                <a:pt x="310415" y="36466"/>
                <a:pt x="309872" y="58100"/>
                <a:pt x="303644" y="65218"/>
              </a:cubicBezTo>
              <a:cubicBezTo>
                <a:pt x="296794" y="73046"/>
                <a:pt x="285036" y="74522"/>
                <a:pt x="275732" y="79174"/>
              </a:cubicBezTo>
              <a:cubicBezTo>
                <a:pt x="231466" y="75485"/>
                <a:pt x="225137" y="89631"/>
                <a:pt x="210604" y="60566"/>
              </a:cubicBezTo>
              <a:cubicBezTo>
                <a:pt x="208411" y="56180"/>
                <a:pt x="207503" y="51262"/>
                <a:pt x="205952" y="46610"/>
              </a:cubicBezTo>
              <a:cubicBezTo>
                <a:pt x="207503" y="40407"/>
                <a:pt x="206443" y="32856"/>
                <a:pt x="210604" y="28002"/>
              </a:cubicBezTo>
              <a:cubicBezTo>
                <a:pt x="229677" y="5750"/>
                <a:pt x="245504" y="15501"/>
                <a:pt x="271080" y="18698"/>
              </a:cubicBezTo>
              <a:cubicBezTo>
                <a:pt x="272776" y="23786"/>
                <a:pt x="281033" y="47368"/>
                <a:pt x="280384" y="51262"/>
              </a:cubicBezTo>
              <a:cubicBezTo>
                <a:pt x="275907" y="78126"/>
                <a:pt x="272623" y="87706"/>
                <a:pt x="252472" y="97782"/>
              </a:cubicBezTo>
              <a:cubicBezTo>
                <a:pt x="248086" y="99975"/>
                <a:pt x="243168" y="100883"/>
                <a:pt x="238516" y="102434"/>
              </a:cubicBezTo>
              <a:cubicBezTo>
                <a:pt x="226111" y="100883"/>
                <a:pt x="213049" y="102054"/>
                <a:pt x="201300" y="97782"/>
              </a:cubicBezTo>
              <a:cubicBezTo>
                <a:pt x="194618" y="95352"/>
                <a:pt x="176258" y="69044"/>
                <a:pt x="173388" y="65218"/>
              </a:cubicBezTo>
              <a:cubicBezTo>
                <a:pt x="168756" y="46690"/>
                <a:pt x="158459" y="19655"/>
                <a:pt x="182692" y="4742"/>
              </a:cubicBezTo>
              <a:cubicBezTo>
                <a:pt x="195964" y="-3426"/>
                <a:pt x="213705" y="7843"/>
                <a:pt x="229212" y="9394"/>
              </a:cubicBezTo>
              <a:cubicBezTo>
                <a:pt x="232313" y="14046"/>
                <a:pt x="236016" y="18349"/>
                <a:pt x="238516" y="23350"/>
              </a:cubicBezTo>
              <a:cubicBezTo>
                <a:pt x="243984" y="34287"/>
                <a:pt x="246845" y="49461"/>
                <a:pt x="238516" y="60566"/>
              </a:cubicBezTo>
              <a:cubicBezTo>
                <a:pt x="233091" y="67799"/>
                <a:pt x="223009" y="69870"/>
                <a:pt x="215256" y="74522"/>
              </a:cubicBezTo>
              <a:cubicBezTo>
                <a:pt x="182175" y="70387"/>
                <a:pt x="180644" y="79731"/>
                <a:pt x="168736" y="55914"/>
              </a:cubicBezTo>
              <a:cubicBezTo>
                <a:pt x="166543" y="51528"/>
                <a:pt x="165635" y="46610"/>
                <a:pt x="164084" y="41958"/>
              </a:cubicBezTo>
              <a:cubicBezTo>
                <a:pt x="167185" y="31103"/>
                <a:pt x="163520" y="14876"/>
                <a:pt x="173388" y="9394"/>
              </a:cubicBezTo>
              <a:cubicBezTo>
                <a:pt x="201846" y="-6416"/>
                <a:pt x="206213" y="19482"/>
                <a:pt x="210604" y="32654"/>
              </a:cubicBezTo>
              <a:cubicBezTo>
                <a:pt x="209053" y="46610"/>
                <a:pt x="211763" y="61739"/>
                <a:pt x="205952" y="74522"/>
              </a:cubicBezTo>
              <a:cubicBezTo>
                <a:pt x="198334" y="91282"/>
                <a:pt x="167762" y="80562"/>
                <a:pt x="159432" y="79174"/>
              </a:cubicBezTo>
              <a:cubicBezTo>
                <a:pt x="156331" y="74522"/>
                <a:pt x="152330" y="70357"/>
                <a:pt x="150128" y="65218"/>
              </a:cubicBezTo>
              <a:cubicBezTo>
                <a:pt x="140627" y="43048"/>
                <a:pt x="147448" y="39709"/>
                <a:pt x="154780" y="14046"/>
              </a:cubicBezTo>
              <a:cubicBezTo>
                <a:pt x="168736" y="17147"/>
                <a:pt x="189870" y="10762"/>
                <a:pt x="196648" y="23350"/>
              </a:cubicBezTo>
              <a:cubicBezTo>
                <a:pt x="222679" y="71693"/>
                <a:pt x="190711" y="73680"/>
                <a:pt x="168736" y="79174"/>
              </a:cubicBezTo>
              <a:cubicBezTo>
                <a:pt x="159432" y="76073"/>
                <a:pt x="149141" y="75068"/>
                <a:pt x="140824" y="69870"/>
              </a:cubicBezTo>
              <a:cubicBezTo>
                <a:pt x="131305" y="63921"/>
                <a:pt x="129066" y="46099"/>
                <a:pt x="126868" y="37306"/>
              </a:cubicBezTo>
              <a:cubicBezTo>
                <a:pt x="128419" y="32654"/>
                <a:pt x="127691" y="26413"/>
                <a:pt x="131520" y="23350"/>
              </a:cubicBezTo>
              <a:cubicBezTo>
                <a:pt x="143981" y="13381"/>
                <a:pt x="179520" y="22372"/>
                <a:pt x="187344" y="23350"/>
              </a:cubicBezTo>
              <a:cubicBezTo>
                <a:pt x="190445" y="28002"/>
                <a:pt x="196648" y="31715"/>
                <a:pt x="196648" y="37306"/>
              </a:cubicBezTo>
              <a:cubicBezTo>
                <a:pt x="196648" y="64936"/>
                <a:pt x="195626" y="87609"/>
                <a:pt x="173388" y="102434"/>
              </a:cubicBezTo>
              <a:cubicBezTo>
                <a:pt x="169308" y="105154"/>
                <a:pt x="164084" y="105535"/>
                <a:pt x="159432" y="107086"/>
              </a:cubicBezTo>
              <a:cubicBezTo>
                <a:pt x="145476" y="103985"/>
                <a:pt x="130545" y="103773"/>
                <a:pt x="117564" y="97782"/>
              </a:cubicBezTo>
              <a:cubicBezTo>
                <a:pt x="106703" y="92769"/>
                <a:pt x="96364" y="75287"/>
                <a:pt x="89651" y="65218"/>
              </a:cubicBezTo>
              <a:cubicBezTo>
                <a:pt x="91202" y="54363"/>
                <a:pt x="88491" y="41952"/>
                <a:pt x="94303" y="32654"/>
              </a:cubicBezTo>
              <a:cubicBezTo>
                <a:pt x="97692" y="27232"/>
                <a:pt x="106537" y="27512"/>
                <a:pt x="112912" y="28002"/>
              </a:cubicBezTo>
              <a:cubicBezTo>
                <a:pt x="127166" y="29098"/>
                <a:pt x="140824" y="34205"/>
                <a:pt x="154780" y="37306"/>
              </a:cubicBezTo>
              <a:cubicBezTo>
                <a:pt x="170837" y="61392"/>
                <a:pt x="173006" y="58318"/>
                <a:pt x="159432" y="102434"/>
              </a:cubicBezTo>
              <a:cubicBezTo>
                <a:pt x="157371" y="109133"/>
                <a:pt x="136769" y="114640"/>
                <a:pt x="131520" y="116390"/>
              </a:cubicBezTo>
              <a:cubicBezTo>
                <a:pt x="120665" y="114839"/>
                <a:pt x="109137" y="115810"/>
                <a:pt x="98956" y="111738"/>
              </a:cubicBezTo>
              <a:cubicBezTo>
                <a:pt x="92847" y="109295"/>
                <a:pt x="89211" y="102836"/>
                <a:pt x="84999" y="97782"/>
              </a:cubicBezTo>
              <a:cubicBezTo>
                <a:pt x="74979" y="85759"/>
                <a:pt x="75705" y="83856"/>
                <a:pt x="71043" y="69870"/>
              </a:cubicBezTo>
              <a:cubicBezTo>
                <a:pt x="74144" y="60566"/>
                <a:pt x="71419" y="46016"/>
                <a:pt x="80347" y="41958"/>
              </a:cubicBezTo>
              <a:cubicBezTo>
                <a:pt x="117641" y="25006"/>
                <a:pt x="123724" y="49123"/>
                <a:pt x="136172" y="69870"/>
              </a:cubicBezTo>
              <a:cubicBezTo>
                <a:pt x="134621" y="82275"/>
                <a:pt x="136597" y="95662"/>
                <a:pt x="131520" y="107086"/>
              </a:cubicBezTo>
              <a:cubicBezTo>
                <a:pt x="129528" y="111567"/>
                <a:pt x="122401" y="112544"/>
                <a:pt x="117564" y="111738"/>
              </a:cubicBezTo>
              <a:cubicBezTo>
                <a:pt x="103053" y="109320"/>
                <a:pt x="89651" y="102434"/>
                <a:pt x="75695" y="97782"/>
              </a:cubicBezTo>
              <a:cubicBezTo>
                <a:pt x="69492" y="93130"/>
                <a:pt x="62569" y="89308"/>
                <a:pt x="57087" y="83826"/>
              </a:cubicBezTo>
              <a:cubicBezTo>
                <a:pt x="48069" y="74808"/>
                <a:pt x="46915" y="67265"/>
                <a:pt x="43131" y="55914"/>
              </a:cubicBezTo>
              <a:cubicBezTo>
                <a:pt x="46232" y="51262"/>
                <a:pt x="46887" y="42651"/>
                <a:pt x="52435" y="41958"/>
              </a:cubicBezTo>
              <a:cubicBezTo>
                <a:pt x="84681" y="37927"/>
                <a:pt x="80977" y="54412"/>
                <a:pt x="84999" y="74522"/>
              </a:cubicBezTo>
              <a:cubicBezTo>
                <a:pt x="81898" y="82275"/>
                <a:pt x="83448" y="94681"/>
                <a:pt x="75695" y="97782"/>
              </a:cubicBezTo>
              <a:cubicBezTo>
                <a:pt x="39243" y="112363"/>
                <a:pt x="39829" y="93167"/>
                <a:pt x="29175" y="74522"/>
              </a:cubicBezTo>
              <a:cubicBezTo>
                <a:pt x="26401" y="69668"/>
                <a:pt x="22972" y="65218"/>
                <a:pt x="19871" y="60566"/>
              </a:cubicBezTo>
              <a:cubicBezTo>
                <a:pt x="21422" y="51262"/>
                <a:pt x="16086" y="36872"/>
                <a:pt x="24523" y="32654"/>
              </a:cubicBezTo>
              <a:cubicBezTo>
                <a:pt x="51769" y="19031"/>
                <a:pt x="66636" y="33145"/>
                <a:pt x="75695" y="51262"/>
              </a:cubicBezTo>
              <a:cubicBezTo>
                <a:pt x="77888" y="55648"/>
                <a:pt x="78796" y="60566"/>
                <a:pt x="80347" y="65218"/>
              </a:cubicBezTo>
              <a:cubicBezTo>
                <a:pt x="77246" y="76073"/>
                <a:pt x="77026" y="88209"/>
                <a:pt x="71043" y="97782"/>
              </a:cubicBezTo>
              <a:cubicBezTo>
                <a:pt x="64685" y="107954"/>
                <a:pt x="37548" y="98526"/>
                <a:pt x="33827" y="97782"/>
              </a:cubicBezTo>
              <a:cubicBezTo>
                <a:pt x="26095" y="90050"/>
                <a:pt x="5915" y="72127"/>
                <a:pt x="5915" y="60566"/>
              </a:cubicBezTo>
              <a:cubicBezTo>
                <a:pt x="5915" y="51524"/>
                <a:pt x="15219" y="45059"/>
                <a:pt x="19871" y="37306"/>
              </a:cubicBezTo>
              <a:cubicBezTo>
                <a:pt x="30726" y="38857"/>
                <a:pt x="43137" y="36147"/>
                <a:pt x="52435" y="41958"/>
              </a:cubicBezTo>
              <a:cubicBezTo>
                <a:pt x="57857" y="45347"/>
                <a:pt x="57618" y="54195"/>
                <a:pt x="57087" y="60566"/>
              </a:cubicBezTo>
              <a:cubicBezTo>
                <a:pt x="53623" y="102137"/>
                <a:pt x="56493" y="95604"/>
                <a:pt x="29175" y="102434"/>
              </a:cubicBezTo>
              <a:cubicBezTo>
                <a:pt x="21137" y="96406"/>
                <a:pt x="3853" y="88959"/>
                <a:pt x="5915" y="74522"/>
              </a:cubicBezTo>
              <a:cubicBezTo>
                <a:pt x="6896" y="67657"/>
                <a:pt x="12118" y="62117"/>
                <a:pt x="15219" y="55914"/>
              </a:cubicBezTo>
              <a:cubicBezTo>
                <a:pt x="22972" y="59015"/>
                <a:pt x="32574" y="59313"/>
                <a:pt x="38479" y="65218"/>
              </a:cubicBezTo>
              <a:cubicBezTo>
                <a:pt x="45371" y="72110"/>
                <a:pt x="43992" y="95542"/>
                <a:pt x="38479" y="102434"/>
              </a:cubicBezTo>
              <a:cubicBezTo>
                <a:pt x="35416" y="106263"/>
                <a:pt x="29175" y="105535"/>
                <a:pt x="24523" y="107086"/>
              </a:cubicBezTo>
              <a:cubicBezTo>
                <a:pt x="13937" y="101793"/>
                <a:pt x="-5071" y="98176"/>
                <a:pt x="1263" y="79174"/>
              </a:cubicBezTo>
              <a:cubicBezTo>
                <a:pt x="3031" y="73870"/>
                <a:pt x="10567" y="72971"/>
                <a:pt x="15219" y="69870"/>
              </a:cubicBezTo>
              <a:lnTo>
                <a:pt x="57087" y="79174"/>
              </a:ln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116301</xdr:colOff>
      <xdr:row>759</xdr:row>
      <xdr:rowOff>65129</xdr:rowOff>
    </xdr:from>
    <xdr:to>
      <xdr:col>8</xdr:col>
      <xdr:colOff>251210</xdr:colOff>
      <xdr:row>759</xdr:row>
      <xdr:rowOff>190733</xdr:rowOff>
    </xdr:to>
    <xdr:sp macro="" textlink="">
      <xdr:nvSpPr>
        <xdr:cNvPr id="32" name="Rectangle 31">
          <a:extLst>
            <a:ext uri="{FF2B5EF4-FFF2-40B4-BE49-F238E27FC236}">
              <a16:creationId xmlns:a16="http://schemas.microsoft.com/office/drawing/2014/main" id="{9467F680-D4EA-F94A-851E-E984AE264724}"/>
            </a:ext>
          </a:extLst>
        </xdr:cNvPr>
        <xdr:cNvSpPr/>
      </xdr:nvSpPr>
      <xdr:spPr>
        <a:xfrm>
          <a:off x="13518136790" y="33313729"/>
          <a:ext cx="134909"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781539</xdr:colOff>
      <xdr:row>759</xdr:row>
      <xdr:rowOff>60477</xdr:rowOff>
    </xdr:from>
    <xdr:to>
      <xdr:col>8</xdr:col>
      <xdr:colOff>93042</xdr:colOff>
      <xdr:row>759</xdr:row>
      <xdr:rowOff>186081</xdr:rowOff>
    </xdr:to>
    <xdr:sp macro="" textlink="">
      <xdr:nvSpPr>
        <xdr:cNvPr id="33" name="Rectangle 32">
          <a:extLst>
            <a:ext uri="{FF2B5EF4-FFF2-40B4-BE49-F238E27FC236}">
              <a16:creationId xmlns:a16="http://schemas.microsoft.com/office/drawing/2014/main" id="{2B507DB9-A7ED-2C4E-AEF7-F71ADAF8B8F7}"/>
            </a:ext>
          </a:extLst>
        </xdr:cNvPr>
        <xdr:cNvSpPr/>
      </xdr:nvSpPr>
      <xdr:spPr>
        <a:xfrm>
          <a:off x="13518294958" y="33309077"/>
          <a:ext cx="175103" cy="125604"/>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246558</xdr:colOff>
      <xdr:row>759</xdr:row>
      <xdr:rowOff>60477</xdr:rowOff>
    </xdr:from>
    <xdr:to>
      <xdr:col>8</xdr:col>
      <xdr:colOff>382880</xdr:colOff>
      <xdr:row>759</xdr:row>
      <xdr:rowOff>139561</xdr:rowOff>
    </xdr:to>
    <xdr:sp macro="" textlink="">
      <xdr:nvSpPr>
        <xdr:cNvPr id="34" name="Freeform 33">
          <a:extLst>
            <a:ext uri="{FF2B5EF4-FFF2-40B4-BE49-F238E27FC236}">
              <a16:creationId xmlns:a16="http://schemas.microsoft.com/office/drawing/2014/main" id="{F7C4B5CB-7322-1248-8DD2-D1C2C7B4500F}"/>
            </a:ext>
          </a:extLst>
        </xdr:cNvPr>
        <xdr:cNvSpPr/>
      </xdr:nvSpPr>
      <xdr:spPr>
        <a:xfrm>
          <a:off x="13518005120" y="33309077"/>
          <a:ext cx="136322" cy="79084"/>
        </a:xfrm>
        <a:custGeom>
          <a:avLst/>
          <a:gdLst>
            <a:gd name="connsiteX0" fmla="*/ 136322 w 136322"/>
            <a:gd name="connsiteY0" fmla="*/ 74432 h 79084"/>
            <a:gd name="connsiteX1" fmla="*/ 75846 w 136322"/>
            <a:gd name="connsiteY1" fmla="*/ 23260 h 79084"/>
            <a:gd name="connsiteX2" fmla="*/ 61890 w 136322"/>
            <a:gd name="connsiteY2" fmla="*/ 13956 h 79084"/>
            <a:gd name="connsiteX3" fmla="*/ 43282 w 136322"/>
            <a:gd name="connsiteY3" fmla="*/ 9304 h 79084"/>
            <a:gd name="connsiteX4" fmla="*/ 15370 w 136322"/>
            <a:gd name="connsiteY4" fmla="*/ 0 h 79084"/>
            <a:gd name="connsiteX5" fmla="*/ 1414 w 136322"/>
            <a:gd name="connsiteY5" fmla="*/ 9304 h 79084"/>
            <a:gd name="connsiteX6" fmla="*/ 24674 w 136322"/>
            <a:gd name="connsiteY6" fmla="*/ 69780 h 79084"/>
            <a:gd name="connsiteX7" fmla="*/ 29326 w 136322"/>
            <a:gd name="connsiteY7" fmla="*/ 79084 h 7908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36322" h="79084">
              <a:moveTo>
                <a:pt x="136322" y="74432"/>
              </a:moveTo>
              <a:cubicBezTo>
                <a:pt x="95851" y="33961"/>
                <a:pt x="116531" y="50383"/>
                <a:pt x="75846" y="23260"/>
              </a:cubicBezTo>
              <a:cubicBezTo>
                <a:pt x="71194" y="20159"/>
                <a:pt x="67314" y="15312"/>
                <a:pt x="61890" y="13956"/>
              </a:cubicBezTo>
              <a:cubicBezTo>
                <a:pt x="55687" y="12405"/>
                <a:pt x="49406" y="11141"/>
                <a:pt x="43282" y="9304"/>
              </a:cubicBezTo>
              <a:cubicBezTo>
                <a:pt x="33888" y="6486"/>
                <a:pt x="15370" y="0"/>
                <a:pt x="15370" y="0"/>
              </a:cubicBezTo>
              <a:cubicBezTo>
                <a:pt x="10718" y="3101"/>
                <a:pt x="2627" y="3846"/>
                <a:pt x="1414" y="9304"/>
              </a:cubicBezTo>
              <a:cubicBezTo>
                <a:pt x="-5243" y="39262"/>
                <a:pt x="13130" y="46691"/>
                <a:pt x="24674" y="69780"/>
              </a:cubicBezTo>
              <a:lnTo>
                <a:pt x="29326" y="7908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674522</xdr:colOff>
      <xdr:row>759</xdr:row>
      <xdr:rowOff>65129</xdr:rowOff>
    </xdr:from>
    <xdr:to>
      <xdr:col>7</xdr:col>
      <xdr:colOff>786191</xdr:colOff>
      <xdr:row>759</xdr:row>
      <xdr:rowOff>148865</xdr:rowOff>
    </xdr:to>
    <xdr:sp macro="" textlink="">
      <xdr:nvSpPr>
        <xdr:cNvPr id="35" name="Freeform 34">
          <a:extLst>
            <a:ext uri="{FF2B5EF4-FFF2-40B4-BE49-F238E27FC236}">
              <a16:creationId xmlns:a16="http://schemas.microsoft.com/office/drawing/2014/main" id="{DCD52D67-1471-0240-897B-4D2529B7E0E4}"/>
            </a:ext>
          </a:extLst>
        </xdr:cNvPr>
        <xdr:cNvSpPr/>
      </xdr:nvSpPr>
      <xdr:spPr>
        <a:xfrm>
          <a:off x="13518465409" y="33313729"/>
          <a:ext cx="111669" cy="83736"/>
        </a:xfrm>
        <a:custGeom>
          <a:avLst/>
          <a:gdLst>
            <a:gd name="connsiteX0" fmla="*/ 0 w 111669"/>
            <a:gd name="connsiteY0" fmla="*/ 41868 h 83736"/>
            <a:gd name="connsiteX1" fmla="*/ 32564 w 111669"/>
            <a:gd name="connsiteY1" fmla="*/ 32564 h 83736"/>
            <a:gd name="connsiteX2" fmla="*/ 46520 w 111669"/>
            <a:gd name="connsiteY2" fmla="*/ 23260 h 83736"/>
            <a:gd name="connsiteX3" fmla="*/ 65128 w 111669"/>
            <a:gd name="connsiteY3" fmla="*/ 13956 h 83736"/>
            <a:gd name="connsiteX4" fmla="*/ 93041 w 111669"/>
            <a:gd name="connsiteY4" fmla="*/ 0 h 83736"/>
            <a:gd name="connsiteX5" fmla="*/ 106997 w 111669"/>
            <a:gd name="connsiteY5" fmla="*/ 4652 h 83736"/>
            <a:gd name="connsiteX6" fmla="*/ 106997 w 111669"/>
            <a:gd name="connsiteY6" fmla="*/ 37216 h 83736"/>
            <a:gd name="connsiteX7" fmla="*/ 88389 w 111669"/>
            <a:gd name="connsiteY7" fmla="*/ 46520 h 83736"/>
            <a:gd name="connsiteX8" fmla="*/ 65128 w 111669"/>
            <a:gd name="connsiteY8" fmla="*/ 69780 h 83736"/>
            <a:gd name="connsiteX9" fmla="*/ 55824 w 111669"/>
            <a:gd name="connsiteY9" fmla="*/ 83736 h 8373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111669" h="83736">
              <a:moveTo>
                <a:pt x="0" y="41868"/>
              </a:moveTo>
              <a:cubicBezTo>
                <a:pt x="10855" y="38767"/>
                <a:pt x="22082" y="36757"/>
                <a:pt x="32564" y="32564"/>
              </a:cubicBezTo>
              <a:cubicBezTo>
                <a:pt x="37755" y="30488"/>
                <a:pt x="41666" y="26034"/>
                <a:pt x="46520" y="23260"/>
              </a:cubicBezTo>
              <a:cubicBezTo>
                <a:pt x="52541" y="19819"/>
                <a:pt x="59107" y="17397"/>
                <a:pt x="65128" y="13956"/>
              </a:cubicBezTo>
              <a:cubicBezTo>
                <a:pt x="90378" y="-473"/>
                <a:pt x="67453" y="8529"/>
                <a:pt x="93041" y="0"/>
              </a:cubicBezTo>
              <a:cubicBezTo>
                <a:pt x="97693" y="1551"/>
                <a:pt x="103530" y="1185"/>
                <a:pt x="106997" y="4652"/>
              </a:cubicBezTo>
              <a:cubicBezTo>
                <a:pt x="114036" y="11691"/>
                <a:pt x="112362" y="30778"/>
                <a:pt x="106997" y="37216"/>
              </a:cubicBezTo>
              <a:cubicBezTo>
                <a:pt x="102557" y="42543"/>
                <a:pt x="93863" y="42263"/>
                <a:pt x="88389" y="46520"/>
              </a:cubicBezTo>
              <a:cubicBezTo>
                <a:pt x="79734" y="53252"/>
                <a:pt x="71210" y="60656"/>
                <a:pt x="65128" y="69780"/>
              </a:cubicBezTo>
              <a:lnTo>
                <a:pt x="55824" y="83736"/>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800455</xdr:colOff>
      <xdr:row>766</xdr:row>
      <xdr:rowOff>204688</xdr:rowOff>
    </xdr:from>
    <xdr:to>
      <xdr:col>7</xdr:col>
      <xdr:colOff>136311</xdr:colOff>
      <xdr:row>767</xdr:row>
      <xdr:rowOff>160293</xdr:rowOff>
    </xdr:to>
    <xdr:sp macro="" textlink="">
      <xdr:nvSpPr>
        <xdr:cNvPr id="36" name="Freeform 35">
          <a:extLst>
            <a:ext uri="{FF2B5EF4-FFF2-40B4-BE49-F238E27FC236}">
              <a16:creationId xmlns:a16="http://schemas.microsoft.com/office/drawing/2014/main" id="{B93FBA99-72C5-E24C-9E5D-3C502CE38BCE}"/>
            </a:ext>
          </a:extLst>
        </xdr:cNvPr>
        <xdr:cNvSpPr/>
      </xdr:nvSpPr>
      <xdr:spPr>
        <a:xfrm>
          <a:off x="13519115289" y="34875688"/>
          <a:ext cx="161356"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466605</xdr:colOff>
      <xdr:row>766</xdr:row>
      <xdr:rowOff>181428</xdr:rowOff>
    </xdr:from>
    <xdr:to>
      <xdr:col>8</xdr:col>
      <xdr:colOff>625868</xdr:colOff>
      <xdr:row>767</xdr:row>
      <xdr:rowOff>137033</xdr:rowOff>
    </xdr:to>
    <xdr:sp macro="" textlink="">
      <xdr:nvSpPr>
        <xdr:cNvPr id="37" name="Freeform 36">
          <a:extLst>
            <a:ext uri="{FF2B5EF4-FFF2-40B4-BE49-F238E27FC236}">
              <a16:creationId xmlns:a16="http://schemas.microsoft.com/office/drawing/2014/main" id="{EB21C72F-706D-0A40-BD9E-9B2D2816BFCC}"/>
            </a:ext>
          </a:extLst>
        </xdr:cNvPr>
        <xdr:cNvSpPr/>
      </xdr:nvSpPr>
      <xdr:spPr>
        <a:xfrm>
          <a:off x="13517762132" y="34852428"/>
          <a:ext cx="159263" cy="158805"/>
        </a:xfrm>
        <a:custGeom>
          <a:avLst/>
          <a:gdLst>
            <a:gd name="connsiteX0" fmla="*/ 1402 w 159263"/>
            <a:gd name="connsiteY0" fmla="*/ 158169 h 160294"/>
            <a:gd name="connsiteX1" fmla="*/ 10706 w 159263"/>
            <a:gd name="connsiteY1" fmla="*/ 97693 h 160294"/>
            <a:gd name="connsiteX2" fmla="*/ 33966 w 159263"/>
            <a:gd name="connsiteY2" fmla="*/ 69781 h 160294"/>
            <a:gd name="connsiteX3" fmla="*/ 43270 w 159263"/>
            <a:gd name="connsiteY3" fmla="*/ 51172 h 160294"/>
            <a:gd name="connsiteX4" fmla="*/ 57226 w 159263"/>
            <a:gd name="connsiteY4" fmla="*/ 13956 h 160294"/>
            <a:gd name="connsiteX5" fmla="*/ 71182 w 159263"/>
            <a:gd name="connsiteY5" fmla="*/ 0 h 160294"/>
            <a:gd name="connsiteX6" fmla="*/ 80486 w 159263"/>
            <a:gd name="connsiteY6" fmla="*/ 13956 h 160294"/>
            <a:gd name="connsiteX7" fmla="*/ 75834 w 159263"/>
            <a:gd name="connsiteY7" fmla="*/ 65128 h 160294"/>
            <a:gd name="connsiteX8" fmla="*/ 71182 w 159263"/>
            <a:gd name="connsiteY8" fmla="*/ 83737 h 160294"/>
            <a:gd name="connsiteX9" fmla="*/ 52574 w 159263"/>
            <a:gd name="connsiteY9" fmla="*/ 111649 h 160294"/>
            <a:gd name="connsiteX10" fmla="*/ 10706 w 159263"/>
            <a:gd name="connsiteY10" fmla="*/ 144213 h 160294"/>
            <a:gd name="connsiteX11" fmla="*/ 15358 w 159263"/>
            <a:gd name="connsiteY11" fmla="*/ 125605 h 160294"/>
            <a:gd name="connsiteX12" fmla="*/ 47922 w 159263"/>
            <a:gd name="connsiteY12" fmla="*/ 106997 h 160294"/>
            <a:gd name="connsiteX13" fmla="*/ 71182 w 159263"/>
            <a:gd name="connsiteY13" fmla="*/ 97693 h 160294"/>
            <a:gd name="connsiteX14" fmla="*/ 103746 w 159263"/>
            <a:gd name="connsiteY14" fmla="*/ 74433 h 160294"/>
            <a:gd name="connsiteX15" fmla="*/ 117702 w 159263"/>
            <a:gd name="connsiteY15" fmla="*/ 69781 h 160294"/>
            <a:gd name="connsiteX16" fmla="*/ 150267 w 159263"/>
            <a:gd name="connsiteY16" fmla="*/ 111649 h 160294"/>
            <a:gd name="connsiteX17" fmla="*/ 131659 w 159263"/>
            <a:gd name="connsiteY17" fmla="*/ 125605 h 160294"/>
            <a:gd name="connsiteX18" fmla="*/ 108398 w 159263"/>
            <a:gd name="connsiteY18" fmla="*/ 144213 h 160294"/>
            <a:gd name="connsiteX19" fmla="*/ 71182 w 159263"/>
            <a:gd name="connsiteY19" fmla="*/ 153517 h 160294"/>
            <a:gd name="connsiteX20" fmla="*/ 38618 w 159263"/>
            <a:gd name="connsiteY20" fmla="*/ 148865 h 160294"/>
            <a:gd name="connsiteX21" fmla="*/ 1402 w 159263"/>
            <a:gd name="connsiteY21" fmla="*/ 158169 h 1602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Lst>
          <a:rect l="l" t="t" r="r" b="b"/>
          <a:pathLst>
            <a:path w="159263" h="160294">
              <a:moveTo>
                <a:pt x="1402" y="158169"/>
              </a:moveTo>
              <a:cubicBezTo>
                <a:pt x="-3250" y="149640"/>
                <a:pt x="4663" y="111794"/>
                <a:pt x="10706" y="97693"/>
              </a:cubicBezTo>
              <a:cubicBezTo>
                <a:pt x="15563" y="86359"/>
                <a:pt x="25583" y="78164"/>
                <a:pt x="33966" y="69781"/>
              </a:cubicBezTo>
              <a:cubicBezTo>
                <a:pt x="37067" y="63578"/>
                <a:pt x="40835" y="57666"/>
                <a:pt x="43270" y="51172"/>
              </a:cubicBezTo>
              <a:cubicBezTo>
                <a:pt x="50959" y="30668"/>
                <a:pt x="43593" y="33042"/>
                <a:pt x="57226" y="13956"/>
              </a:cubicBezTo>
              <a:cubicBezTo>
                <a:pt x="61050" y="8603"/>
                <a:pt x="66530" y="4652"/>
                <a:pt x="71182" y="0"/>
              </a:cubicBezTo>
              <a:cubicBezTo>
                <a:pt x="74283" y="4652"/>
                <a:pt x="80088" y="8379"/>
                <a:pt x="80486" y="13956"/>
              </a:cubicBezTo>
              <a:cubicBezTo>
                <a:pt x="81706" y="31040"/>
                <a:pt x="78098" y="48151"/>
                <a:pt x="75834" y="65128"/>
              </a:cubicBezTo>
              <a:cubicBezTo>
                <a:pt x="74989" y="71466"/>
                <a:pt x="74041" y="78018"/>
                <a:pt x="71182" y="83737"/>
              </a:cubicBezTo>
              <a:cubicBezTo>
                <a:pt x="66181" y="93739"/>
                <a:pt x="61878" y="105446"/>
                <a:pt x="52574" y="111649"/>
              </a:cubicBezTo>
              <a:cubicBezTo>
                <a:pt x="19188" y="133906"/>
                <a:pt x="32569" y="122350"/>
                <a:pt x="10706" y="144213"/>
              </a:cubicBezTo>
              <a:cubicBezTo>
                <a:pt x="12257" y="138010"/>
                <a:pt x="11642" y="130808"/>
                <a:pt x="15358" y="125605"/>
              </a:cubicBezTo>
              <a:cubicBezTo>
                <a:pt x="24971" y="112147"/>
                <a:pt x="34781" y="111925"/>
                <a:pt x="47922" y="106997"/>
              </a:cubicBezTo>
              <a:cubicBezTo>
                <a:pt x="55741" y="104065"/>
                <a:pt x="63882" y="101748"/>
                <a:pt x="71182" y="97693"/>
              </a:cubicBezTo>
              <a:cubicBezTo>
                <a:pt x="90147" y="87157"/>
                <a:pt x="86307" y="83152"/>
                <a:pt x="103746" y="74433"/>
              </a:cubicBezTo>
              <a:cubicBezTo>
                <a:pt x="108132" y="72240"/>
                <a:pt x="113050" y="71332"/>
                <a:pt x="117702" y="69781"/>
              </a:cubicBezTo>
              <a:cubicBezTo>
                <a:pt x="151850" y="74049"/>
                <a:pt x="171943" y="63961"/>
                <a:pt x="150267" y="111649"/>
              </a:cubicBezTo>
              <a:cubicBezTo>
                <a:pt x="147059" y="118707"/>
                <a:pt x="137615" y="120642"/>
                <a:pt x="131659" y="125605"/>
              </a:cubicBezTo>
              <a:cubicBezTo>
                <a:pt x="122609" y="133147"/>
                <a:pt x="120639" y="139762"/>
                <a:pt x="108398" y="144213"/>
              </a:cubicBezTo>
              <a:cubicBezTo>
                <a:pt x="96381" y="148583"/>
                <a:pt x="71182" y="153517"/>
                <a:pt x="71182" y="153517"/>
              </a:cubicBezTo>
              <a:cubicBezTo>
                <a:pt x="60327" y="151966"/>
                <a:pt x="49302" y="151331"/>
                <a:pt x="38618" y="148865"/>
              </a:cubicBezTo>
              <a:cubicBezTo>
                <a:pt x="29062" y="146660"/>
                <a:pt x="6054" y="166698"/>
                <a:pt x="1402" y="158169"/>
              </a:cubicBezTo>
              <a:close/>
            </a:path>
          </a:pathLst>
        </a:cu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739551</xdr:colOff>
      <xdr:row>766</xdr:row>
      <xdr:rowOff>85293</xdr:rowOff>
    </xdr:from>
    <xdr:to>
      <xdr:col>4</xdr:col>
      <xdr:colOff>305237</xdr:colOff>
      <xdr:row>768</xdr:row>
      <xdr:rowOff>43721</xdr:rowOff>
    </xdr:to>
    <xdr:sp macro="" textlink="">
      <xdr:nvSpPr>
        <xdr:cNvPr id="38" name="Smiley Face 37">
          <a:extLst>
            <a:ext uri="{FF2B5EF4-FFF2-40B4-BE49-F238E27FC236}">
              <a16:creationId xmlns:a16="http://schemas.microsoft.com/office/drawing/2014/main" id="{2998DAA4-5D26-3C44-B97D-CD31780EA21E}"/>
            </a:ext>
          </a:extLst>
        </xdr:cNvPr>
        <xdr:cNvSpPr/>
      </xdr:nvSpPr>
      <xdr:spPr>
        <a:xfrm>
          <a:off x="13536680793" y="92851322"/>
          <a:ext cx="392120" cy="369311"/>
        </a:xfrm>
        <a:prstGeom prst="smileyFac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801796</xdr:colOff>
      <xdr:row>759</xdr:row>
      <xdr:rowOff>128756</xdr:rowOff>
    </xdr:from>
    <xdr:to>
      <xdr:col>7</xdr:col>
      <xdr:colOff>848617</xdr:colOff>
      <xdr:row>759</xdr:row>
      <xdr:rowOff>193134</xdr:rowOff>
    </xdr:to>
    <xdr:sp macro="" textlink="">
      <xdr:nvSpPr>
        <xdr:cNvPr id="40" name="Oval 39">
          <a:extLst>
            <a:ext uri="{FF2B5EF4-FFF2-40B4-BE49-F238E27FC236}">
              <a16:creationId xmlns:a16="http://schemas.microsoft.com/office/drawing/2014/main" id="{560D77F3-552C-1245-9FF3-A1AF5A99FA0D}"/>
            </a:ext>
          </a:extLst>
        </xdr:cNvPr>
        <xdr:cNvSpPr/>
      </xdr:nvSpPr>
      <xdr:spPr>
        <a:xfrm>
          <a:off x="13518402983" y="33377356"/>
          <a:ext cx="46821" cy="64378"/>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122908</xdr:colOff>
      <xdr:row>759</xdr:row>
      <xdr:rowOff>128756</xdr:rowOff>
    </xdr:from>
    <xdr:to>
      <xdr:col>8</xdr:col>
      <xdr:colOff>169729</xdr:colOff>
      <xdr:row>759</xdr:row>
      <xdr:rowOff>193134</xdr:rowOff>
    </xdr:to>
    <xdr:sp macro="" textlink="">
      <xdr:nvSpPr>
        <xdr:cNvPr id="41" name="Oval 40">
          <a:extLst>
            <a:ext uri="{FF2B5EF4-FFF2-40B4-BE49-F238E27FC236}">
              <a16:creationId xmlns:a16="http://schemas.microsoft.com/office/drawing/2014/main" id="{679C3D7D-5059-E14C-B9D4-0D748AC5AD68}"/>
            </a:ext>
          </a:extLst>
        </xdr:cNvPr>
        <xdr:cNvSpPr/>
      </xdr:nvSpPr>
      <xdr:spPr>
        <a:xfrm>
          <a:off x="13518218271" y="33377356"/>
          <a:ext cx="46821" cy="64378"/>
        </a:xfrm>
        <a:prstGeom prst="ellipse">
          <a:avLst/>
        </a:prstGeom>
        <a:solidFill>
          <a:schemeClr val="accent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813502</xdr:colOff>
      <xdr:row>768</xdr:row>
      <xdr:rowOff>158018</xdr:rowOff>
    </xdr:from>
    <xdr:to>
      <xdr:col>7</xdr:col>
      <xdr:colOff>216543</xdr:colOff>
      <xdr:row>772</xdr:row>
      <xdr:rowOff>40967</xdr:rowOff>
    </xdr:to>
    <xdr:sp macro="" textlink="">
      <xdr:nvSpPr>
        <xdr:cNvPr id="42" name="Down Arrow 41">
          <a:extLst>
            <a:ext uri="{FF2B5EF4-FFF2-40B4-BE49-F238E27FC236}">
              <a16:creationId xmlns:a16="http://schemas.microsoft.com/office/drawing/2014/main" id="{7536B35B-748D-B045-96A5-CE5F313DE8AB}"/>
            </a:ext>
          </a:extLst>
        </xdr:cNvPr>
        <xdr:cNvSpPr/>
      </xdr:nvSpPr>
      <xdr:spPr>
        <a:xfrm>
          <a:off x="13519035057" y="35235418"/>
          <a:ext cx="228541" cy="70844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474055</xdr:colOff>
      <xdr:row>768</xdr:row>
      <xdr:rowOff>93640</xdr:rowOff>
    </xdr:from>
    <xdr:to>
      <xdr:col>8</xdr:col>
      <xdr:colOff>702304</xdr:colOff>
      <xdr:row>771</xdr:row>
      <xdr:rowOff>181428</xdr:rowOff>
    </xdr:to>
    <xdr:sp macro="" textlink="">
      <xdr:nvSpPr>
        <xdr:cNvPr id="43" name="Down Arrow 42">
          <a:extLst>
            <a:ext uri="{FF2B5EF4-FFF2-40B4-BE49-F238E27FC236}">
              <a16:creationId xmlns:a16="http://schemas.microsoft.com/office/drawing/2014/main" id="{8602C463-AC45-8C43-BFF1-0299711B3D44}"/>
            </a:ext>
          </a:extLst>
        </xdr:cNvPr>
        <xdr:cNvSpPr/>
      </xdr:nvSpPr>
      <xdr:spPr>
        <a:xfrm>
          <a:off x="13517685696" y="35171040"/>
          <a:ext cx="228249" cy="697388"/>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165781</xdr:colOff>
      <xdr:row>766</xdr:row>
      <xdr:rowOff>80021</xdr:rowOff>
    </xdr:from>
    <xdr:to>
      <xdr:col>4</xdr:col>
      <xdr:colOff>559318</xdr:colOff>
      <xdr:row>768</xdr:row>
      <xdr:rowOff>38449</xdr:rowOff>
    </xdr:to>
    <xdr:sp macro="" textlink="">
      <xdr:nvSpPr>
        <xdr:cNvPr id="45" name="Smiley Face 44">
          <a:extLst>
            <a:ext uri="{FF2B5EF4-FFF2-40B4-BE49-F238E27FC236}">
              <a16:creationId xmlns:a16="http://schemas.microsoft.com/office/drawing/2014/main" id="{2BE481F0-7855-F95C-8335-116A8B549281}"/>
            </a:ext>
          </a:extLst>
        </xdr:cNvPr>
        <xdr:cNvSpPr/>
      </xdr:nvSpPr>
      <xdr:spPr>
        <a:xfrm>
          <a:off x="13509175165" y="157238872"/>
          <a:ext cx="393537" cy="367163"/>
        </a:xfrm>
        <a:prstGeom prst="smileyFac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69850</xdr:colOff>
      <xdr:row>300</xdr:row>
      <xdr:rowOff>178978</xdr:rowOff>
    </xdr:from>
    <xdr:to>
      <xdr:col>9</xdr:col>
      <xdr:colOff>233401</xdr:colOff>
      <xdr:row>305</xdr:row>
      <xdr:rowOff>150387</xdr:rowOff>
    </xdr:to>
    <xdr:pic>
      <xdr:nvPicPr>
        <xdr:cNvPr id="39" name="Picture 38" descr="Hand Drawn Cartoon Coffee with Beans 13860284 PNG">
          <a:extLst>
            <a:ext uri="{FF2B5EF4-FFF2-40B4-BE49-F238E27FC236}">
              <a16:creationId xmlns:a16="http://schemas.microsoft.com/office/drawing/2014/main" id="{9B62F718-E17E-D9A1-6396-127BC7A6F2E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517329099" y="61685078"/>
          <a:ext cx="989051" cy="9874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688974</xdr:colOff>
      <xdr:row>307</xdr:row>
      <xdr:rowOff>129315</xdr:rowOff>
    </xdr:from>
    <xdr:to>
      <xdr:col>9</xdr:col>
      <xdr:colOff>372096</xdr:colOff>
      <xdr:row>313</xdr:row>
      <xdr:rowOff>19050</xdr:rowOff>
    </xdr:to>
    <xdr:pic>
      <xdr:nvPicPr>
        <xdr:cNvPr id="44" name="Picture 43" descr="Amazon.com: Olde Midway חשמלי 30 נקניקיות 11 רולר גריל סיר מכונה עם מגירת  חימום לחמנייה - דרגה מסחרית, פלדת אל-חלד : תעשייה ומדע">
          <a:extLst>
            <a:ext uri="{FF2B5EF4-FFF2-40B4-BE49-F238E27FC236}">
              <a16:creationId xmlns:a16="http://schemas.microsoft.com/office/drawing/2014/main" id="{632DBC03-2D25-A384-55B2-3EEA8EB7CD3C}"/>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3517190404" y="63057815"/>
          <a:ext cx="1334122" cy="1108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766646</xdr:colOff>
      <xdr:row>305</xdr:row>
      <xdr:rowOff>100671</xdr:rowOff>
    </xdr:from>
    <xdr:to>
      <xdr:col>8</xdr:col>
      <xdr:colOff>770518</xdr:colOff>
      <xdr:row>307</xdr:row>
      <xdr:rowOff>100671</xdr:rowOff>
    </xdr:to>
    <xdr:cxnSp macro="">
      <xdr:nvCxnSpPr>
        <xdr:cNvPr id="47" name="Straight Arrow Connector 46">
          <a:extLst>
            <a:ext uri="{FF2B5EF4-FFF2-40B4-BE49-F238E27FC236}">
              <a16:creationId xmlns:a16="http://schemas.microsoft.com/office/drawing/2014/main" id="{9F4A0195-6861-EAD8-79CE-9CDF1DF4CE53}"/>
            </a:ext>
          </a:extLst>
        </xdr:cNvPr>
        <xdr:cNvCxnSpPr/>
      </xdr:nvCxnSpPr>
      <xdr:spPr>
        <a:xfrm>
          <a:off x="13504936067" y="14194573"/>
          <a:ext cx="3872" cy="4026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445274</xdr:colOff>
      <xdr:row>305</xdr:row>
      <xdr:rowOff>46464</xdr:rowOff>
    </xdr:from>
    <xdr:to>
      <xdr:col>8</xdr:col>
      <xdr:colOff>449146</xdr:colOff>
      <xdr:row>307</xdr:row>
      <xdr:rowOff>73567</xdr:rowOff>
    </xdr:to>
    <xdr:cxnSp macro="">
      <xdr:nvCxnSpPr>
        <xdr:cNvPr id="48" name="Straight Arrow Connector 47">
          <a:extLst>
            <a:ext uri="{FF2B5EF4-FFF2-40B4-BE49-F238E27FC236}">
              <a16:creationId xmlns:a16="http://schemas.microsoft.com/office/drawing/2014/main" id="{B3D737A0-6CBC-46EA-45BD-5112D2704A33}"/>
            </a:ext>
          </a:extLst>
        </xdr:cNvPr>
        <xdr:cNvCxnSpPr/>
      </xdr:nvCxnSpPr>
      <xdr:spPr>
        <a:xfrm flipH="1" flipV="1">
          <a:off x="13505257439" y="14140366"/>
          <a:ext cx="3872" cy="4297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696951</xdr:colOff>
      <xdr:row>364</xdr:row>
      <xdr:rowOff>181981</xdr:rowOff>
    </xdr:from>
    <xdr:to>
      <xdr:col>4</xdr:col>
      <xdr:colOff>181982</xdr:colOff>
      <xdr:row>369</xdr:row>
      <xdr:rowOff>46464</xdr:rowOff>
    </xdr:to>
    <xdr:sp macro="" textlink="">
      <xdr:nvSpPr>
        <xdr:cNvPr id="51" name="Rounded Rectangle 50">
          <a:extLst>
            <a:ext uri="{FF2B5EF4-FFF2-40B4-BE49-F238E27FC236}">
              <a16:creationId xmlns:a16="http://schemas.microsoft.com/office/drawing/2014/main" id="{55A486CC-BC10-AEDD-3259-BF36CF67A43F}"/>
            </a:ext>
          </a:extLst>
        </xdr:cNvPr>
        <xdr:cNvSpPr/>
      </xdr:nvSpPr>
      <xdr:spPr>
        <a:xfrm>
          <a:off x="13508823506" y="26155030"/>
          <a:ext cx="1959207"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האם עסקת</a:t>
          </a:r>
          <a:r>
            <a:rPr lang="he-IL" sz="1100" baseline="0"/>
            <a:t> ההחלפה היא בין נכסים ״שונים״ = פרופיל המזומן הנובעת מהם שונה (מהות מסחרית)</a:t>
          </a:r>
          <a:endParaRPr lang="en-US" sz="1100"/>
        </a:p>
      </xdr:txBody>
    </xdr:sp>
    <xdr:clientData/>
  </xdr:twoCellAnchor>
  <xdr:twoCellAnchor>
    <xdr:from>
      <xdr:col>3</xdr:col>
      <xdr:colOff>650487</xdr:colOff>
      <xdr:row>369</xdr:row>
      <xdr:rowOff>54207</xdr:rowOff>
    </xdr:from>
    <xdr:to>
      <xdr:col>4</xdr:col>
      <xdr:colOff>534329</xdr:colOff>
      <xdr:row>371</xdr:row>
      <xdr:rowOff>197470</xdr:rowOff>
    </xdr:to>
    <xdr:cxnSp macro="">
      <xdr:nvCxnSpPr>
        <xdr:cNvPr id="53" name="Straight Arrow Connector 52">
          <a:extLst>
            <a:ext uri="{FF2B5EF4-FFF2-40B4-BE49-F238E27FC236}">
              <a16:creationId xmlns:a16="http://schemas.microsoft.com/office/drawing/2014/main" id="{EFDD080F-81B4-B518-3B0A-0A4110DEC999}"/>
            </a:ext>
          </a:extLst>
        </xdr:cNvPr>
        <xdr:cNvCxnSpPr/>
      </xdr:nvCxnSpPr>
      <xdr:spPr>
        <a:xfrm flipH="1">
          <a:off x="13508471159" y="27033963"/>
          <a:ext cx="708567" cy="54594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158750</xdr:colOff>
      <xdr:row>372</xdr:row>
      <xdr:rowOff>15488</xdr:rowOff>
    </xdr:from>
    <xdr:to>
      <xdr:col>7</xdr:col>
      <xdr:colOff>34847</xdr:colOff>
      <xdr:row>376</xdr:row>
      <xdr:rowOff>81312</xdr:rowOff>
    </xdr:to>
    <xdr:sp macro="" textlink="">
      <xdr:nvSpPr>
        <xdr:cNvPr id="55" name="Rounded Rectangle 54">
          <a:extLst>
            <a:ext uri="{FF2B5EF4-FFF2-40B4-BE49-F238E27FC236}">
              <a16:creationId xmlns:a16="http://schemas.microsoft.com/office/drawing/2014/main" id="{0813DADC-5938-BA36-64DA-4E2F2248FE04}"/>
            </a:ext>
          </a:extLst>
        </xdr:cNvPr>
        <xdr:cNvSpPr/>
      </xdr:nvSpPr>
      <xdr:spPr>
        <a:xfrm>
          <a:off x="13506496464" y="27599268"/>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הנכס המתקבל יימדד לפי שוויו ההוגן</a:t>
          </a:r>
          <a:endParaRPr lang="en-US" sz="1100"/>
        </a:p>
      </xdr:txBody>
    </xdr:sp>
    <xdr:clientData/>
  </xdr:twoCellAnchor>
  <xdr:twoCellAnchor>
    <xdr:from>
      <xdr:col>1</xdr:col>
      <xdr:colOff>220701</xdr:colOff>
      <xdr:row>369</xdr:row>
      <xdr:rowOff>65823</xdr:rowOff>
    </xdr:from>
    <xdr:to>
      <xdr:col>2</xdr:col>
      <xdr:colOff>414299</xdr:colOff>
      <xdr:row>371</xdr:row>
      <xdr:rowOff>162622</xdr:rowOff>
    </xdr:to>
    <xdr:cxnSp macro="">
      <xdr:nvCxnSpPr>
        <xdr:cNvPr id="57" name="Straight Arrow Connector 56">
          <a:extLst>
            <a:ext uri="{FF2B5EF4-FFF2-40B4-BE49-F238E27FC236}">
              <a16:creationId xmlns:a16="http://schemas.microsoft.com/office/drawing/2014/main" id="{E0164D22-8975-ECDD-ACAA-6593725DB540}"/>
            </a:ext>
          </a:extLst>
        </xdr:cNvPr>
        <xdr:cNvCxnSpPr/>
      </xdr:nvCxnSpPr>
      <xdr:spPr>
        <a:xfrm>
          <a:off x="13510240640" y="27045579"/>
          <a:ext cx="1018323" cy="49948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108414</xdr:colOff>
      <xdr:row>371</xdr:row>
      <xdr:rowOff>193598</xdr:rowOff>
    </xdr:from>
    <xdr:to>
      <xdr:col>2</xdr:col>
      <xdr:colOff>809237</xdr:colOff>
      <xdr:row>376</xdr:row>
      <xdr:rowOff>58081</xdr:rowOff>
    </xdr:to>
    <xdr:sp macro="" textlink="">
      <xdr:nvSpPr>
        <xdr:cNvPr id="59" name="Rounded Rectangle 58">
          <a:extLst>
            <a:ext uri="{FF2B5EF4-FFF2-40B4-BE49-F238E27FC236}">
              <a16:creationId xmlns:a16="http://schemas.microsoft.com/office/drawing/2014/main" id="{0C91FFD7-105B-6D10-90B7-E338DF9DEE65}"/>
            </a:ext>
          </a:extLst>
        </xdr:cNvPr>
        <xdr:cNvSpPr/>
      </xdr:nvSpPr>
      <xdr:spPr>
        <a:xfrm>
          <a:off x="13509845702" y="27576037"/>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חשבו את</a:t>
          </a:r>
          <a:r>
            <a:rPr lang="he-IL" sz="1100" baseline="0"/>
            <a:t> ערך הספרים (בהתאם לאופן מדידתו) של הנמסר</a:t>
          </a:r>
        </a:p>
        <a:p>
          <a:pPr algn="ctr" rtl="1"/>
          <a:endParaRPr lang="he-IL" sz="1100" baseline="0"/>
        </a:p>
        <a:p>
          <a:pPr algn="ctr" rtl="1"/>
          <a:r>
            <a:rPr lang="he-IL" sz="1100" baseline="0"/>
            <a:t>הנכס המתקבל יוכר בסכום זהה</a:t>
          </a:r>
          <a:endParaRPr lang="en-US" sz="1100"/>
        </a:p>
      </xdr:txBody>
    </xdr:sp>
    <xdr:clientData/>
  </xdr:twoCellAnchor>
  <xdr:twoCellAnchor>
    <xdr:from>
      <xdr:col>4</xdr:col>
      <xdr:colOff>197470</xdr:colOff>
      <xdr:row>376</xdr:row>
      <xdr:rowOff>81310</xdr:rowOff>
    </xdr:from>
    <xdr:to>
      <xdr:col>5</xdr:col>
      <xdr:colOff>321371</xdr:colOff>
      <xdr:row>378</xdr:row>
      <xdr:rowOff>96799</xdr:rowOff>
    </xdr:to>
    <xdr:cxnSp macro="">
      <xdr:nvCxnSpPr>
        <xdr:cNvPr id="60" name="Straight Arrow Connector 59">
          <a:extLst>
            <a:ext uri="{FF2B5EF4-FFF2-40B4-BE49-F238E27FC236}">
              <a16:creationId xmlns:a16="http://schemas.microsoft.com/office/drawing/2014/main" id="{0C808846-A24D-3E2C-9CD2-2B301F493F10}"/>
            </a:ext>
          </a:extLst>
        </xdr:cNvPr>
        <xdr:cNvCxnSpPr/>
      </xdr:nvCxnSpPr>
      <xdr:spPr>
        <a:xfrm>
          <a:off x="13507859391" y="28470456"/>
          <a:ext cx="948627" cy="418172"/>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824724</xdr:colOff>
      <xdr:row>378</xdr:row>
      <xdr:rowOff>104543</xdr:rowOff>
    </xdr:from>
    <xdr:to>
      <xdr:col>4</xdr:col>
      <xdr:colOff>700822</xdr:colOff>
      <xdr:row>382</xdr:row>
      <xdr:rowOff>170367</xdr:rowOff>
    </xdr:to>
    <xdr:sp macro="" textlink="">
      <xdr:nvSpPr>
        <xdr:cNvPr id="62" name="Rounded Rectangle 61">
          <a:extLst>
            <a:ext uri="{FF2B5EF4-FFF2-40B4-BE49-F238E27FC236}">
              <a16:creationId xmlns:a16="http://schemas.microsoft.com/office/drawing/2014/main" id="{14D2D476-1009-AF1E-EDA6-E24F168A4F94}"/>
            </a:ext>
          </a:extLst>
        </xdr:cNvPr>
        <xdr:cNvSpPr/>
      </xdr:nvSpPr>
      <xdr:spPr>
        <a:xfrm>
          <a:off x="13508304666" y="28896372"/>
          <a:ext cx="2350274" cy="87119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נגרע מהספרים</a:t>
          </a:r>
          <a:r>
            <a:rPr lang="he-IL" sz="1100" baseline="0"/>
            <a:t> את ערך הנכס שנמסר:</a:t>
          </a:r>
        </a:p>
        <a:p>
          <a:pPr algn="ctr" rtl="1"/>
          <a:r>
            <a:rPr lang="he-IL" sz="1100" baseline="0"/>
            <a:t>במהות מסחרית: יוכר רוו״ה</a:t>
          </a:r>
        </a:p>
        <a:p>
          <a:pPr algn="ctr" rtl="1"/>
          <a:r>
            <a:rPr lang="he-IL" sz="1100" baseline="0"/>
            <a:t>בהיעדר מהות מסחרית: לא יוכר רוו״ה</a:t>
          </a:r>
          <a:endParaRPr lang="en-US" sz="1100"/>
        </a:p>
      </xdr:txBody>
    </xdr:sp>
    <xdr:clientData/>
  </xdr:twoCellAnchor>
  <xdr:twoCellAnchor>
    <xdr:from>
      <xdr:col>1</xdr:col>
      <xdr:colOff>302011</xdr:colOff>
      <xdr:row>376</xdr:row>
      <xdr:rowOff>54206</xdr:rowOff>
    </xdr:from>
    <xdr:to>
      <xdr:col>2</xdr:col>
      <xdr:colOff>673719</xdr:colOff>
      <xdr:row>378</xdr:row>
      <xdr:rowOff>116159</xdr:rowOff>
    </xdr:to>
    <xdr:cxnSp macro="">
      <xdr:nvCxnSpPr>
        <xdr:cNvPr id="64" name="Straight Arrow Connector 63">
          <a:extLst>
            <a:ext uri="{FF2B5EF4-FFF2-40B4-BE49-F238E27FC236}">
              <a16:creationId xmlns:a16="http://schemas.microsoft.com/office/drawing/2014/main" id="{1B9F8630-3D9C-E8DC-EF83-63F14AF7CCA7}"/>
            </a:ext>
          </a:extLst>
        </xdr:cNvPr>
        <xdr:cNvCxnSpPr/>
      </xdr:nvCxnSpPr>
      <xdr:spPr>
        <a:xfrm flipH="1">
          <a:off x="13509981220" y="28443352"/>
          <a:ext cx="1196433" cy="464636"/>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821519</xdr:colOff>
      <xdr:row>654</xdr:row>
      <xdr:rowOff>100594</xdr:rowOff>
    </xdr:from>
    <xdr:to>
      <xdr:col>8</xdr:col>
      <xdr:colOff>243102</xdr:colOff>
      <xdr:row>661</xdr:row>
      <xdr:rowOff>104785</xdr:rowOff>
    </xdr:to>
    <xdr:sp macro="" textlink="">
      <xdr:nvSpPr>
        <xdr:cNvPr id="66" name="Left Brace 65">
          <a:extLst>
            <a:ext uri="{FF2B5EF4-FFF2-40B4-BE49-F238E27FC236}">
              <a16:creationId xmlns:a16="http://schemas.microsoft.com/office/drawing/2014/main" id="{D67CA60D-EEBB-7344-71FB-54C567DE849E}"/>
            </a:ext>
          </a:extLst>
        </xdr:cNvPr>
        <xdr:cNvSpPr/>
      </xdr:nvSpPr>
      <xdr:spPr>
        <a:xfrm>
          <a:off x="13521576832" y="80307591"/>
          <a:ext cx="247293" cy="1446039"/>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398185</xdr:colOff>
      <xdr:row>661</xdr:row>
      <xdr:rowOff>196996</xdr:rowOff>
    </xdr:from>
    <xdr:to>
      <xdr:col>9</xdr:col>
      <xdr:colOff>398185</xdr:colOff>
      <xdr:row>664</xdr:row>
      <xdr:rowOff>12574</xdr:rowOff>
    </xdr:to>
    <xdr:cxnSp macro="">
      <xdr:nvCxnSpPr>
        <xdr:cNvPr id="68" name="Straight Arrow Connector 67">
          <a:extLst>
            <a:ext uri="{FF2B5EF4-FFF2-40B4-BE49-F238E27FC236}">
              <a16:creationId xmlns:a16="http://schemas.microsoft.com/office/drawing/2014/main" id="{5174D723-31FF-BA60-5E9F-A65ED2DE7E17}"/>
            </a:ext>
          </a:extLst>
        </xdr:cNvPr>
        <xdr:cNvCxnSpPr/>
      </xdr:nvCxnSpPr>
      <xdr:spPr>
        <a:xfrm>
          <a:off x="13520596040" y="81845841"/>
          <a:ext cx="0" cy="4191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385612</xdr:colOff>
      <xdr:row>661</xdr:row>
      <xdr:rowOff>192804</xdr:rowOff>
    </xdr:from>
    <xdr:to>
      <xdr:col>10</xdr:col>
      <xdr:colOff>385612</xdr:colOff>
      <xdr:row>664</xdr:row>
      <xdr:rowOff>8382</xdr:rowOff>
    </xdr:to>
    <xdr:cxnSp macro="">
      <xdr:nvCxnSpPr>
        <xdr:cNvPr id="69" name="Straight Arrow Connector 68">
          <a:extLst>
            <a:ext uri="{FF2B5EF4-FFF2-40B4-BE49-F238E27FC236}">
              <a16:creationId xmlns:a16="http://schemas.microsoft.com/office/drawing/2014/main" id="{B142795E-B814-D8F6-5870-DAA9B60FC445}"/>
            </a:ext>
          </a:extLst>
        </xdr:cNvPr>
        <xdr:cNvCxnSpPr/>
      </xdr:nvCxnSpPr>
      <xdr:spPr>
        <a:xfrm>
          <a:off x="13519782903" y="81841649"/>
          <a:ext cx="0" cy="41914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0</xdr:colOff>
      <xdr:row>67</xdr:row>
      <xdr:rowOff>0</xdr:rowOff>
    </xdr:from>
    <xdr:ext cx="1971408" cy="900150"/>
    <xdr:pic>
      <xdr:nvPicPr>
        <xdr:cNvPr id="46" name="Picture 45">
          <a:extLst>
            <a:ext uri="{FF2B5EF4-FFF2-40B4-BE49-F238E27FC236}">
              <a16:creationId xmlns:a16="http://schemas.microsoft.com/office/drawing/2014/main" id="{E6145F21-DB3E-3841-879D-47B945194DDC}"/>
            </a:ext>
          </a:extLst>
        </xdr:cNvPr>
        <xdr:cNvPicPr>
          <a:picLocks noChangeAspect="1"/>
        </xdr:cNvPicPr>
      </xdr:nvPicPr>
      <xdr:blipFill>
        <a:blip xmlns:r="http://schemas.openxmlformats.org/officeDocument/2006/relationships" r:embed="rId4"/>
        <a:stretch>
          <a:fillRect/>
        </a:stretch>
      </xdr:blipFill>
      <xdr:spPr>
        <a:xfrm>
          <a:off x="13523439692" y="54711600"/>
          <a:ext cx="1971408" cy="900150"/>
        </a:xfrm>
        <a:prstGeom prst="rect">
          <a:avLst/>
        </a:prstGeom>
      </xdr:spPr>
    </xdr:pic>
    <xdr:clientData/>
  </xdr:oneCellAnchor>
  <xdr:twoCellAnchor>
    <xdr:from>
      <xdr:col>2</xdr:col>
      <xdr:colOff>449185</xdr:colOff>
      <xdr:row>66</xdr:row>
      <xdr:rowOff>16158</xdr:rowOff>
    </xdr:from>
    <xdr:to>
      <xdr:col>8</xdr:col>
      <xdr:colOff>487964</xdr:colOff>
      <xdr:row>72</xdr:row>
      <xdr:rowOff>0</xdr:rowOff>
    </xdr:to>
    <xdr:sp macro="" textlink="">
      <xdr:nvSpPr>
        <xdr:cNvPr id="49" name="Rounded Rectangular Callout 48">
          <a:extLst>
            <a:ext uri="{FF2B5EF4-FFF2-40B4-BE49-F238E27FC236}">
              <a16:creationId xmlns:a16="http://schemas.microsoft.com/office/drawing/2014/main" id="{833F3C12-7AD3-CC45-999A-CEA83E6EF862}"/>
            </a:ext>
          </a:extLst>
        </xdr:cNvPr>
        <xdr:cNvSpPr/>
      </xdr:nvSpPr>
      <xdr:spPr>
        <a:xfrm>
          <a:off x="13518319136" y="54524558"/>
          <a:ext cx="4991779" cy="1203042"/>
        </a:xfrm>
        <a:prstGeom prst="wedgeRoundRectCallout">
          <a:avLst>
            <a:gd name="adj1" fmla="val 52916"/>
            <a:gd name="adj2" fmla="val 327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אז רגע שי, בוא תעשה לי סדר. אתה בעצם אומר שאם מתחילים</a:t>
          </a:r>
          <a:r>
            <a:rPr lang="he-IL" sz="1100" baseline="0"/>
            <a:t> לדבר בשאלה על משהו שנראה כמו נב״מ, כשאני שוקל האם לכלול את הנכס בדיווחים של החברה, עליי לבחון קודם כל האם מתקיימים מבחני הזיהוי (חוזית / יכולת הפרדה) שליטה (בלעדיות על ההטבות) ואם אחד מהמבחנים הללו (או יותר) לא מתקיים - אין מה להמשיך - הפריט / עלותו תוכר כהוצאה.</a:t>
          </a:r>
          <a:endParaRPr lang="en-US" sz="1100"/>
        </a:p>
      </xdr:txBody>
    </xdr:sp>
    <xdr:clientData/>
  </xdr:twoCellAnchor>
  <xdr:oneCellAnchor>
    <xdr:from>
      <xdr:col>2</xdr:col>
      <xdr:colOff>326386</xdr:colOff>
      <xdr:row>101</xdr:row>
      <xdr:rowOff>97536</xdr:rowOff>
    </xdr:from>
    <xdr:ext cx="2003077" cy="1332975"/>
    <xdr:pic>
      <xdr:nvPicPr>
        <xdr:cNvPr id="50" name="Picture 49" descr="Halloween funny maze for preschool and school kids. Skeleton and bat are  looking for candies. Coloring page. Vector illustration. Stock Vector |  Adobe Stock">
          <a:extLst>
            <a:ext uri="{FF2B5EF4-FFF2-40B4-BE49-F238E27FC236}">
              <a16:creationId xmlns:a16="http://schemas.microsoft.com/office/drawing/2014/main" id="{618B8C82-B26E-0F4E-AEEF-773AD7A2AD2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521430637" y="61717936"/>
          <a:ext cx="2003077" cy="13329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733562</xdr:colOff>
      <xdr:row>107</xdr:row>
      <xdr:rowOff>180967</xdr:rowOff>
    </xdr:from>
    <xdr:to>
      <xdr:col>2</xdr:col>
      <xdr:colOff>403943</xdr:colOff>
      <xdr:row>109</xdr:row>
      <xdr:rowOff>38778</xdr:rowOff>
    </xdr:to>
    <xdr:cxnSp macro="">
      <xdr:nvCxnSpPr>
        <xdr:cNvPr id="52" name="Straight Arrow Connector 51">
          <a:extLst>
            <a:ext uri="{FF2B5EF4-FFF2-40B4-BE49-F238E27FC236}">
              <a16:creationId xmlns:a16="http://schemas.microsoft.com/office/drawing/2014/main" id="{48DE8089-037A-DD43-98F0-6C5CD018683C}"/>
            </a:ext>
          </a:extLst>
        </xdr:cNvPr>
        <xdr:cNvCxnSpPr/>
      </xdr:nvCxnSpPr>
      <xdr:spPr>
        <a:xfrm flipH="1" flipV="1">
          <a:off x="13523356157" y="63020567"/>
          <a:ext cx="495881" cy="2642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151883</xdr:colOff>
      <xdr:row>106</xdr:row>
      <xdr:rowOff>84021</xdr:rowOff>
    </xdr:from>
    <xdr:to>
      <xdr:col>3</xdr:col>
      <xdr:colOff>649542</xdr:colOff>
      <xdr:row>107</xdr:row>
      <xdr:rowOff>103410</xdr:rowOff>
    </xdr:to>
    <xdr:sp macro="" textlink="">
      <xdr:nvSpPr>
        <xdr:cNvPr id="54" name="Rectangle 53">
          <a:extLst>
            <a:ext uri="{FF2B5EF4-FFF2-40B4-BE49-F238E27FC236}">
              <a16:creationId xmlns:a16="http://schemas.microsoft.com/office/drawing/2014/main" id="{A4D3EAEF-E9BE-5F49-9D88-B071ECFBF6BD}"/>
            </a:ext>
          </a:extLst>
        </xdr:cNvPr>
        <xdr:cNvSpPr/>
      </xdr:nvSpPr>
      <xdr:spPr>
        <a:xfrm>
          <a:off x="13522285058" y="62720421"/>
          <a:ext cx="497659" cy="2225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הגדרה</a:t>
          </a:r>
          <a:endParaRPr lang="en-US" sz="600"/>
        </a:p>
      </xdr:txBody>
    </xdr:sp>
    <xdr:clientData/>
  </xdr:twoCellAnchor>
  <xdr:twoCellAnchor>
    <xdr:from>
      <xdr:col>3</xdr:col>
      <xdr:colOff>433028</xdr:colOff>
      <xdr:row>105</xdr:row>
      <xdr:rowOff>6463</xdr:rowOff>
    </xdr:from>
    <xdr:to>
      <xdr:col>5</xdr:col>
      <xdr:colOff>106641</xdr:colOff>
      <xdr:row>106</xdr:row>
      <xdr:rowOff>25853</xdr:rowOff>
    </xdr:to>
    <xdr:sp macro="" textlink="">
      <xdr:nvSpPr>
        <xdr:cNvPr id="56" name="Rectangle 55">
          <a:extLst>
            <a:ext uri="{FF2B5EF4-FFF2-40B4-BE49-F238E27FC236}">
              <a16:creationId xmlns:a16="http://schemas.microsoft.com/office/drawing/2014/main" id="{2EE7A4E8-CD6C-1448-9345-FCB58420D730}"/>
            </a:ext>
          </a:extLst>
        </xdr:cNvPr>
        <xdr:cNvSpPr/>
      </xdr:nvSpPr>
      <xdr:spPr>
        <a:xfrm>
          <a:off x="13521176959" y="62439663"/>
          <a:ext cx="1324613" cy="2225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זיהוי</a:t>
          </a:r>
          <a:endParaRPr lang="en-US" sz="600"/>
        </a:p>
      </xdr:txBody>
    </xdr:sp>
    <xdr:clientData/>
  </xdr:twoCellAnchor>
  <xdr:twoCellAnchor>
    <xdr:from>
      <xdr:col>3</xdr:col>
      <xdr:colOff>25853</xdr:colOff>
      <xdr:row>103</xdr:row>
      <xdr:rowOff>135725</xdr:rowOff>
    </xdr:from>
    <xdr:to>
      <xdr:col>3</xdr:col>
      <xdr:colOff>523512</xdr:colOff>
      <xdr:row>104</xdr:row>
      <xdr:rowOff>155114</xdr:rowOff>
    </xdr:to>
    <xdr:sp macro="" textlink="">
      <xdr:nvSpPr>
        <xdr:cNvPr id="58" name="Rectangle 57">
          <a:extLst>
            <a:ext uri="{FF2B5EF4-FFF2-40B4-BE49-F238E27FC236}">
              <a16:creationId xmlns:a16="http://schemas.microsoft.com/office/drawing/2014/main" id="{7AC090E1-4232-6440-A9EB-3A53DDD3ED7B}"/>
            </a:ext>
          </a:extLst>
        </xdr:cNvPr>
        <xdr:cNvSpPr/>
      </xdr:nvSpPr>
      <xdr:spPr>
        <a:xfrm>
          <a:off x="13522411088" y="62162525"/>
          <a:ext cx="497659" cy="2225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שליטה</a:t>
          </a:r>
          <a:endParaRPr lang="en-US" sz="600"/>
        </a:p>
      </xdr:txBody>
    </xdr:sp>
    <xdr:clientData/>
  </xdr:twoCellAnchor>
  <xdr:twoCellAnchor>
    <xdr:from>
      <xdr:col>3</xdr:col>
      <xdr:colOff>90484</xdr:colOff>
      <xdr:row>101</xdr:row>
      <xdr:rowOff>174505</xdr:rowOff>
    </xdr:from>
    <xdr:to>
      <xdr:col>3</xdr:col>
      <xdr:colOff>710942</xdr:colOff>
      <xdr:row>103</xdr:row>
      <xdr:rowOff>87253</xdr:rowOff>
    </xdr:to>
    <xdr:sp macro="" textlink="">
      <xdr:nvSpPr>
        <xdr:cNvPr id="61" name="Rectangle 60">
          <a:extLst>
            <a:ext uri="{FF2B5EF4-FFF2-40B4-BE49-F238E27FC236}">
              <a16:creationId xmlns:a16="http://schemas.microsoft.com/office/drawing/2014/main" id="{D0B0ECBF-BE8C-2A43-8319-32F26608B6DA}"/>
            </a:ext>
          </a:extLst>
        </xdr:cNvPr>
        <xdr:cNvSpPr/>
      </xdr:nvSpPr>
      <xdr:spPr>
        <a:xfrm>
          <a:off x="13522223658" y="61794905"/>
          <a:ext cx="620458" cy="31914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600"/>
            <a:t>מדידת צפי הטבה</a:t>
          </a:r>
          <a:endParaRPr lang="en-US" sz="600"/>
        </a:p>
      </xdr:txBody>
    </xdr:sp>
    <xdr:clientData/>
  </xdr:twoCellAnchor>
  <xdr:twoCellAnchor>
    <xdr:from>
      <xdr:col>2</xdr:col>
      <xdr:colOff>678625</xdr:colOff>
      <xdr:row>102</xdr:row>
      <xdr:rowOff>155115</xdr:rowOff>
    </xdr:from>
    <xdr:to>
      <xdr:col>3</xdr:col>
      <xdr:colOff>61400</xdr:colOff>
      <xdr:row>102</xdr:row>
      <xdr:rowOff>193893</xdr:rowOff>
    </xdr:to>
    <xdr:cxnSp macro="">
      <xdr:nvCxnSpPr>
        <xdr:cNvPr id="63" name="Straight Arrow Connector 62">
          <a:extLst>
            <a:ext uri="{FF2B5EF4-FFF2-40B4-BE49-F238E27FC236}">
              <a16:creationId xmlns:a16="http://schemas.microsoft.com/office/drawing/2014/main" id="{0C26415B-8878-F749-BEA7-D41F7D45B871}"/>
            </a:ext>
          </a:extLst>
        </xdr:cNvPr>
        <xdr:cNvCxnSpPr/>
      </xdr:nvCxnSpPr>
      <xdr:spPr>
        <a:xfrm flipV="1">
          <a:off x="13522873200" y="61978715"/>
          <a:ext cx="208275" cy="387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16158</xdr:colOff>
      <xdr:row>103</xdr:row>
      <xdr:rowOff>122798</xdr:rowOff>
    </xdr:from>
    <xdr:to>
      <xdr:col>5</xdr:col>
      <xdr:colOff>258524</xdr:colOff>
      <xdr:row>104</xdr:row>
      <xdr:rowOff>71093</xdr:rowOff>
    </xdr:to>
    <xdr:cxnSp macro="">
      <xdr:nvCxnSpPr>
        <xdr:cNvPr id="65" name="Straight Arrow Connector 64">
          <a:extLst>
            <a:ext uri="{FF2B5EF4-FFF2-40B4-BE49-F238E27FC236}">
              <a16:creationId xmlns:a16="http://schemas.microsoft.com/office/drawing/2014/main" id="{EBC350B4-158F-A545-94AB-7C8D07196967}"/>
            </a:ext>
          </a:extLst>
        </xdr:cNvPr>
        <xdr:cNvCxnSpPr/>
      </xdr:nvCxnSpPr>
      <xdr:spPr>
        <a:xfrm flipH="1" flipV="1">
          <a:off x="13521025076" y="62149598"/>
          <a:ext cx="242366" cy="151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701247</xdr:colOff>
      <xdr:row>103</xdr:row>
      <xdr:rowOff>38779</xdr:rowOff>
    </xdr:from>
    <xdr:to>
      <xdr:col>5</xdr:col>
      <xdr:colOff>126031</xdr:colOff>
      <xdr:row>104</xdr:row>
      <xdr:rowOff>58168</xdr:rowOff>
    </xdr:to>
    <xdr:sp macro="" textlink="">
      <xdr:nvSpPr>
        <xdr:cNvPr id="67" name="Multiply 66">
          <a:extLst>
            <a:ext uri="{FF2B5EF4-FFF2-40B4-BE49-F238E27FC236}">
              <a16:creationId xmlns:a16="http://schemas.microsoft.com/office/drawing/2014/main" id="{17B42899-C378-CA45-B016-A6350C9EACD5}"/>
            </a:ext>
          </a:extLst>
        </xdr:cNvPr>
        <xdr:cNvSpPr/>
      </xdr:nvSpPr>
      <xdr:spPr>
        <a:xfrm>
          <a:off x="13521157569" y="62065579"/>
          <a:ext cx="1075784" cy="222589"/>
        </a:xfrm>
        <a:prstGeom prst="mathMultiply">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402037</xdr:colOff>
      <xdr:row>114</xdr:row>
      <xdr:rowOff>142188</xdr:rowOff>
    </xdr:from>
    <xdr:ext cx="1777420" cy="1916633"/>
    <xdr:pic>
      <xdr:nvPicPr>
        <xdr:cNvPr id="70" name="Picture 69" descr="Best Easy Maze Royalty-Free Images, Stock Photos &amp; Pictures | Shutterstock">
          <a:extLst>
            <a:ext uri="{FF2B5EF4-FFF2-40B4-BE49-F238E27FC236}">
              <a16:creationId xmlns:a16="http://schemas.microsoft.com/office/drawing/2014/main" id="{2572396E-A350-0046-A7FC-0C254965F4E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21580643" y="64404188"/>
          <a:ext cx="1777420" cy="191663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xdr:col>
      <xdr:colOff>213281</xdr:colOff>
      <xdr:row>105</xdr:row>
      <xdr:rowOff>106641</xdr:rowOff>
    </xdr:from>
    <xdr:to>
      <xdr:col>8</xdr:col>
      <xdr:colOff>429795</xdr:colOff>
      <xdr:row>111</xdr:row>
      <xdr:rowOff>119568</xdr:rowOff>
    </xdr:to>
    <xdr:sp macro="" textlink="">
      <xdr:nvSpPr>
        <xdr:cNvPr id="71" name="Rounded Rectangle 70">
          <a:extLst>
            <a:ext uri="{FF2B5EF4-FFF2-40B4-BE49-F238E27FC236}">
              <a16:creationId xmlns:a16="http://schemas.microsoft.com/office/drawing/2014/main" id="{87E523E0-0908-3946-8D84-3F1475588FAD}"/>
            </a:ext>
          </a:extLst>
        </xdr:cNvPr>
        <xdr:cNvSpPr/>
      </xdr:nvSpPr>
      <xdr:spPr>
        <a:xfrm>
          <a:off x="13518377305" y="62539841"/>
          <a:ext cx="1867514" cy="123212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אז</a:t>
          </a:r>
          <a:r>
            <a:rPr lang="he-IL" sz="1100" baseline="0"/>
            <a:t> בעצם: מורכב / קשה / צריכות להתקיים מגוון נסיבות שיצדיקו / יאפשרו הכרה בנב״מ בייצור עצמי (שהחברה בעצמה מפתחת)</a:t>
          </a:r>
          <a:endParaRPr lang="en-US" sz="1100"/>
        </a:p>
      </xdr:txBody>
    </xdr:sp>
    <xdr:clientData/>
  </xdr:twoCellAnchor>
  <xdr:oneCellAnchor>
    <xdr:from>
      <xdr:col>8</xdr:col>
      <xdr:colOff>420131</xdr:colOff>
      <xdr:row>212</xdr:row>
      <xdr:rowOff>84299</xdr:rowOff>
    </xdr:from>
    <xdr:ext cx="2101832" cy="1400165"/>
    <xdr:pic>
      <xdr:nvPicPr>
        <xdr:cNvPr id="73" name="Picture 72" descr="משפריץ מים חללית - Hili Toys">
          <a:extLst>
            <a:ext uri="{FF2B5EF4-FFF2-40B4-BE49-F238E27FC236}">
              <a16:creationId xmlns:a16="http://schemas.microsoft.com/office/drawing/2014/main" id="{8795F0D1-5D1C-F049-BFC9-AC6B7F95F6C7}"/>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493047441" y="43646493"/>
          <a:ext cx="2101832" cy="14001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617792</xdr:colOff>
      <xdr:row>217</xdr:row>
      <xdr:rowOff>27868</xdr:rowOff>
    </xdr:from>
    <xdr:ext cx="1197412" cy="796290"/>
    <xdr:pic>
      <xdr:nvPicPr>
        <xdr:cNvPr id="72" name="Picture 71" descr="One Mouldy Carrot. Rotten And Uneatable. Isolated On White Background.  Stock Photo, Picture and Royalty Free Image. Image 144115907.">
          <a:extLst>
            <a:ext uri="{FF2B5EF4-FFF2-40B4-BE49-F238E27FC236}">
              <a16:creationId xmlns:a16="http://schemas.microsoft.com/office/drawing/2014/main" id="{5BC7BB66-63AA-7240-B9B6-C15BBD266E9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494578307" y="44605266"/>
          <a:ext cx="1197412" cy="7962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469780</xdr:colOff>
      <xdr:row>216</xdr:row>
      <xdr:rowOff>19906</xdr:rowOff>
    </xdr:from>
    <xdr:to>
      <xdr:col>9</xdr:col>
      <xdr:colOff>302571</xdr:colOff>
      <xdr:row>218</xdr:row>
      <xdr:rowOff>159248</xdr:rowOff>
    </xdr:to>
    <xdr:cxnSp macro="">
      <xdr:nvCxnSpPr>
        <xdr:cNvPr id="75" name="Straight Arrow Connector 74">
          <a:extLst>
            <a:ext uri="{FF2B5EF4-FFF2-40B4-BE49-F238E27FC236}">
              <a16:creationId xmlns:a16="http://schemas.microsoft.com/office/drawing/2014/main" id="{0E71C091-F6EA-6CCF-2A03-E41727417E86}"/>
            </a:ext>
          </a:extLst>
        </xdr:cNvPr>
        <xdr:cNvCxnSpPr/>
      </xdr:nvCxnSpPr>
      <xdr:spPr>
        <a:xfrm flipH="1" flipV="1">
          <a:off x="13494442727" y="44394263"/>
          <a:ext cx="656897" cy="545424"/>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9</xdr:col>
      <xdr:colOff>748464</xdr:colOff>
      <xdr:row>219</xdr:row>
      <xdr:rowOff>15925</xdr:rowOff>
    </xdr:from>
    <xdr:to>
      <xdr:col>9</xdr:col>
      <xdr:colOff>756427</xdr:colOff>
      <xdr:row>220</xdr:row>
      <xdr:rowOff>47775</xdr:rowOff>
    </xdr:to>
    <xdr:cxnSp macro="">
      <xdr:nvCxnSpPr>
        <xdr:cNvPr id="77" name="Straight Connector 76">
          <a:extLst>
            <a:ext uri="{FF2B5EF4-FFF2-40B4-BE49-F238E27FC236}">
              <a16:creationId xmlns:a16="http://schemas.microsoft.com/office/drawing/2014/main" id="{EB60B51D-4FE5-EB77-78C8-F2C54F9F25A6}"/>
            </a:ext>
          </a:extLst>
        </xdr:cNvPr>
        <xdr:cNvCxnSpPr/>
      </xdr:nvCxnSpPr>
      <xdr:spPr>
        <a:xfrm>
          <a:off x="13493988871" y="44999405"/>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680783</xdr:colOff>
      <xdr:row>219</xdr:row>
      <xdr:rowOff>19905</xdr:rowOff>
    </xdr:from>
    <xdr:to>
      <xdr:col>9</xdr:col>
      <xdr:colOff>688746</xdr:colOff>
      <xdr:row>220</xdr:row>
      <xdr:rowOff>51755</xdr:rowOff>
    </xdr:to>
    <xdr:cxnSp macro="">
      <xdr:nvCxnSpPr>
        <xdr:cNvPr id="78" name="Straight Connector 77">
          <a:extLst>
            <a:ext uri="{FF2B5EF4-FFF2-40B4-BE49-F238E27FC236}">
              <a16:creationId xmlns:a16="http://schemas.microsoft.com/office/drawing/2014/main" id="{2DE441EB-26BA-58CA-2149-27C20A5240EE}"/>
            </a:ext>
          </a:extLst>
        </xdr:cNvPr>
        <xdr:cNvCxnSpPr/>
      </xdr:nvCxnSpPr>
      <xdr:spPr>
        <a:xfrm>
          <a:off x="13494056552" y="45003385"/>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605141</xdr:colOff>
      <xdr:row>219</xdr:row>
      <xdr:rowOff>23887</xdr:rowOff>
    </xdr:from>
    <xdr:to>
      <xdr:col>9</xdr:col>
      <xdr:colOff>613104</xdr:colOff>
      <xdr:row>220</xdr:row>
      <xdr:rowOff>55737</xdr:rowOff>
    </xdr:to>
    <xdr:cxnSp macro="">
      <xdr:nvCxnSpPr>
        <xdr:cNvPr id="79" name="Straight Connector 78">
          <a:extLst>
            <a:ext uri="{FF2B5EF4-FFF2-40B4-BE49-F238E27FC236}">
              <a16:creationId xmlns:a16="http://schemas.microsoft.com/office/drawing/2014/main" id="{E758ABC0-E93C-E302-81AE-B58A872DB0BF}"/>
            </a:ext>
          </a:extLst>
        </xdr:cNvPr>
        <xdr:cNvCxnSpPr/>
      </xdr:nvCxnSpPr>
      <xdr:spPr>
        <a:xfrm>
          <a:off x="13494132194" y="45007367"/>
          <a:ext cx="7963" cy="2348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207010</xdr:colOff>
      <xdr:row>220</xdr:row>
      <xdr:rowOff>63644</xdr:rowOff>
    </xdr:from>
    <xdr:to>
      <xdr:col>10</xdr:col>
      <xdr:colOff>254796</xdr:colOff>
      <xdr:row>221</xdr:row>
      <xdr:rowOff>127398</xdr:rowOff>
    </xdr:to>
    <xdr:sp macro="" textlink="">
      <xdr:nvSpPr>
        <xdr:cNvPr id="80" name="Freeform 79">
          <a:extLst>
            <a:ext uri="{FF2B5EF4-FFF2-40B4-BE49-F238E27FC236}">
              <a16:creationId xmlns:a16="http://schemas.microsoft.com/office/drawing/2014/main" id="{5888A25B-0F33-7BDD-4ADE-FC90C20CD845}"/>
            </a:ext>
          </a:extLst>
        </xdr:cNvPr>
        <xdr:cNvSpPr/>
      </xdr:nvSpPr>
      <xdr:spPr>
        <a:xfrm>
          <a:off x="13493666395" y="45250164"/>
          <a:ext cx="871893" cy="266795"/>
        </a:xfrm>
        <a:custGeom>
          <a:avLst/>
          <a:gdLst>
            <a:gd name="connsiteX0" fmla="*/ 59718 w 871893"/>
            <a:gd name="connsiteY0" fmla="*/ 55 h 266795"/>
            <a:gd name="connsiteX1" fmla="*/ 43793 w 871893"/>
            <a:gd name="connsiteY1" fmla="*/ 19961 h 266795"/>
            <a:gd name="connsiteX2" fmla="*/ 27868 w 871893"/>
            <a:gd name="connsiteY2" fmla="*/ 43849 h 266795"/>
            <a:gd name="connsiteX3" fmla="*/ 7962 w 871893"/>
            <a:gd name="connsiteY3" fmla="*/ 71717 h 266795"/>
            <a:gd name="connsiteX4" fmla="*/ 0 w 871893"/>
            <a:gd name="connsiteY4" fmla="*/ 107548 h 266795"/>
            <a:gd name="connsiteX5" fmla="*/ 3981 w 871893"/>
            <a:gd name="connsiteY5" fmla="*/ 159303 h 266795"/>
            <a:gd name="connsiteX6" fmla="*/ 15925 w 871893"/>
            <a:gd name="connsiteY6" fmla="*/ 195134 h 266795"/>
            <a:gd name="connsiteX7" fmla="*/ 19906 w 871893"/>
            <a:gd name="connsiteY7" fmla="*/ 207077 h 266795"/>
            <a:gd name="connsiteX8" fmla="*/ 47774 w 871893"/>
            <a:gd name="connsiteY8" fmla="*/ 219021 h 266795"/>
            <a:gd name="connsiteX9" fmla="*/ 131379 w 871893"/>
            <a:gd name="connsiteY9" fmla="*/ 203096 h 266795"/>
            <a:gd name="connsiteX10" fmla="*/ 143323 w 871893"/>
            <a:gd name="connsiteY10" fmla="*/ 191153 h 266795"/>
            <a:gd name="connsiteX11" fmla="*/ 147304 w 871893"/>
            <a:gd name="connsiteY11" fmla="*/ 219021 h 266795"/>
            <a:gd name="connsiteX12" fmla="*/ 171191 w 871893"/>
            <a:gd name="connsiteY12" fmla="*/ 234946 h 266795"/>
            <a:gd name="connsiteX13" fmla="*/ 218966 w 871893"/>
            <a:gd name="connsiteY13" fmla="*/ 250870 h 266795"/>
            <a:gd name="connsiteX14" fmla="*/ 254796 w 871893"/>
            <a:gd name="connsiteY14" fmla="*/ 258833 h 266795"/>
            <a:gd name="connsiteX15" fmla="*/ 290627 w 871893"/>
            <a:gd name="connsiteY15" fmla="*/ 262814 h 266795"/>
            <a:gd name="connsiteX16" fmla="*/ 322476 w 871893"/>
            <a:gd name="connsiteY16" fmla="*/ 266795 h 266795"/>
            <a:gd name="connsiteX17" fmla="*/ 382194 w 871893"/>
            <a:gd name="connsiteY17" fmla="*/ 254852 h 266795"/>
            <a:gd name="connsiteX18" fmla="*/ 410063 w 871893"/>
            <a:gd name="connsiteY18" fmla="*/ 234946 h 266795"/>
            <a:gd name="connsiteX19" fmla="*/ 429969 w 871893"/>
            <a:gd name="connsiteY19" fmla="*/ 215040 h 266795"/>
            <a:gd name="connsiteX20" fmla="*/ 445893 w 871893"/>
            <a:gd name="connsiteY20" fmla="*/ 191153 h 266795"/>
            <a:gd name="connsiteX21" fmla="*/ 441912 w 871893"/>
            <a:gd name="connsiteY21" fmla="*/ 179209 h 266795"/>
            <a:gd name="connsiteX22" fmla="*/ 425987 w 871893"/>
            <a:gd name="connsiteY22" fmla="*/ 171247 h 266795"/>
            <a:gd name="connsiteX23" fmla="*/ 418025 w 871893"/>
            <a:gd name="connsiteY23" fmla="*/ 163284 h 266795"/>
            <a:gd name="connsiteX24" fmla="*/ 414044 w 871893"/>
            <a:gd name="connsiteY24" fmla="*/ 175228 h 266795"/>
            <a:gd name="connsiteX25" fmla="*/ 469781 w 871893"/>
            <a:gd name="connsiteY25" fmla="*/ 195134 h 266795"/>
            <a:gd name="connsiteX26" fmla="*/ 493668 w 871893"/>
            <a:gd name="connsiteY26" fmla="*/ 199115 h 266795"/>
            <a:gd name="connsiteX27" fmla="*/ 581254 w 871893"/>
            <a:gd name="connsiteY27" fmla="*/ 191153 h 266795"/>
            <a:gd name="connsiteX28" fmla="*/ 609122 w 871893"/>
            <a:gd name="connsiteY28" fmla="*/ 179209 h 266795"/>
            <a:gd name="connsiteX29" fmla="*/ 648934 w 871893"/>
            <a:gd name="connsiteY29" fmla="*/ 151341 h 266795"/>
            <a:gd name="connsiteX30" fmla="*/ 660878 w 871893"/>
            <a:gd name="connsiteY30" fmla="*/ 135416 h 266795"/>
            <a:gd name="connsiteX31" fmla="*/ 668840 w 871893"/>
            <a:gd name="connsiteY31" fmla="*/ 123472 h 266795"/>
            <a:gd name="connsiteX32" fmla="*/ 672821 w 871893"/>
            <a:gd name="connsiteY32" fmla="*/ 111529 h 266795"/>
            <a:gd name="connsiteX33" fmla="*/ 636991 w 871893"/>
            <a:gd name="connsiteY33" fmla="*/ 99585 h 266795"/>
            <a:gd name="connsiteX34" fmla="*/ 629028 w 871893"/>
            <a:gd name="connsiteY34" fmla="*/ 107548 h 266795"/>
            <a:gd name="connsiteX35" fmla="*/ 652915 w 871893"/>
            <a:gd name="connsiteY35" fmla="*/ 123472 h 266795"/>
            <a:gd name="connsiteX36" fmla="*/ 672821 w 871893"/>
            <a:gd name="connsiteY36" fmla="*/ 127454 h 266795"/>
            <a:gd name="connsiteX37" fmla="*/ 728558 w 871893"/>
            <a:gd name="connsiteY37" fmla="*/ 139397 h 266795"/>
            <a:gd name="connsiteX38" fmla="*/ 859937 w 871893"/>
            <a:gd name="connsiteY38" fmla="*/ 123472 h 266795"/>
            <a:gd name="connsiteX39" fmla="*/ 867900 w 871893"/>
            <a:gd name="connsiteY39" fmla="*/ 115510 h 266795"/>
            <a:gd name="connsiteX40" fmla="*/ 871881 w 871893"/>
            <a:gd name="connsiteY40" fmla="*/ 103566 h 266795"/>
            <a:gd name="connsiteX41" fmla="*/ 863918 w 871893"/>
            <a:gd name="connsiteY41" fmla="*/ 39867 h 266795"/>
            <a:gd name="connsiteX42" fmla="*/ 859937 w 871893"/>
            <a:gd name="connsiteY42" fmla="*/ 27924 h 266795"/>
            <a:gd name="connsiteX43" fmla="*/ 847994 w 871893"/>
            <a:gd name="connsiteY43" fmla="*/ 15980 h 266795"/>
            <a:gd name="connsiteX44" fmla="*/ 832069 w 871893"/>
            <a:gd name="connsiteY44" fmla="*/ 11999 h 266795"/>
            <a:gd name="connsiteX45" fmla="*/ 820125 w 871893"/>
            <a:gd name="connsiteY45" fmla="*/ 8018 h 266795"/>
            <a:gd name="connsiteX46" fmla="*/ 804201 w 871893"/>
            <a:gd name="connsiteY46" fmla="*/ 4037 h 266795"/>
            <a:gd name="connsiteX47" fmla="*/ 784295 w 871893"/>
            <a:gd name="connsiteY47" fmla="*/ 55 h 26679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Lst>
          <a:rect l="l" t="t" r="r" b="b"/>
          <a:pathLst>
            <a:path w="871893" h="266795">
              <a:moveTo>
                <a:pt x="59718" y="55"/>
              </a:moveTo>
              <a:cubicBezTo>
                <a:pt x="54410" y="6690"/>
                <a:pt x="48791" y="13089"/>
                <a:pt x="43793" y="19961"/>
              </a:cubicBezTo>
              <a:cubicBezTo>
                <a:pt x="38164" y="27701"/>
                <a:pt x="33610" y="36193"/>
                <a:pt x="27868" y="43849"/>
              </a:cubicBezTo>
              <a:cubicBezTo>
                <a:pt x="13054" y="63601"/>
                <a:pt x="19606" y="54252"/>
                <a:pt x="7962" y="71717"/>
              </a:cubicBezTo>
              <a:cubicBezTo>
                <a:pt x="6427" y="77859"/>
                <a:pt x="0" y="102494"/>
                <a:pt x="0" y="107548"/>
              </a:cubicBezTo>
              <a:cubicBezTo>
                <a:pt x="0" y="124851"/>
                <a:pt x="2259" y="142086"/>
                <a:pt x="3981" y="159303"/>
              </a:cubicBezTo>
              <a:cubicBezTo>
                <a:pt x="6989" y="189383"/>
                <a:pt x="1928" y="181137"/>
                <a:pt x="15925" y="195134"/>
              </a:cubicBezTo>
              <a:cubicBezTo>
                <a:pt x="17252" y="199115"/>
                <a:pt x="17747" y="203479"/>
                <a:pt x="19906" y="207077"/>
              </a:cubicBezTo>
              <a:cubicBezTo>
                <a:pt x="26859" y="218667"/>
                <a:pt x="34631" y="216393"/>
                <a:pt x="47774" y="219021"/>
              </a:cubicBezTo>
              <a:cubicBezTo>
                <a:pt x="87185" y="214642"/>
                <a:pt x="106806" y="223573"/>
                <a:pt x="131379" y="203096"/>
              </a:cubicBezTo>
              <a:cubicBezTo>
                <a:pt x="135704" y="199492"/>
                <a:pt x="139342" y="195134"/>
                <a:pt x="143323" y="191153"/>
              </a:cubicBezTo>
              <a:cubicBezTo>
                <a:pt x="143323" y="191153"/>
                <a:pt x="142266" y="211104"/>
                <a:pt x="147304" y="219021"/>
              </a:cubicBezTo>
              <a:cubicBezTo>
                <a:pt x="152442" y="227095"/>
                <a:pt x="162790" y="230364"/>
                <a:pt x="171191" y="234946"/>
              </a:cubicBezTo>
              <a:cubicBezTo>
                <a:pt x="182745" y="241248"/>
                <a:pt x="207644" y="248039"/>
                <a:pt x="218966" y="250870"/>
              </a:cubicBezTo>
              <a:cubicBezTo>
                <a:pt x="230835" y="253837"/>
                <a:pt x="242728" y="256822"/>
                <a:pt x="254796" y="258833"/>
              </a:cubicBezTo>
              <a:cubicBezTo>
                <a:pt x="266650" y="260809"/>
                <a:pt x="278692" y="261410"/>
                <a:pt x="290627" y="262814"/>
              </a:cubicBezTo>
              <a:lnTo>
                <a:pt x="322476" y="266795"/>
              </a:lnTo>
              <a:cubicBezTo>
                <a:pt x="339766" y="264634"/>
                <a:pt x="365842" y="263028"/>
                <a:pt x="382194" y="254852"/>
              </a:cubicBezTo>
              <a:cubicBezTo>
                <a:pt x="392405" y="249747"/>
                <a:pt x="401293" y="242254"/>
                <a:pt x="410063" y="234946"/>
              </a:cubicBezTo>
              <a:cubicBezTo>
                <a:pt x="417272" y="228939"/>
                <a:pt x="424027" y="222303"/>
                <a:pt x="429969" y="215040"/>
              </a:cubicBezTo>
              <a:cubicBezTo>
                <a:pt x="436029" y="207634"/>
                <a:pt x="445893" y="191153"/>
                <a:pt x="445893" y="191153"/>
              </a:cubicBezTo>
              <a:cubicBezTo>
                <a:pt x="444566" y="187172"/>
                <a:pt x="444879" y="182176"/>
                <a:pt x="441912" y="179209"/>
              </a:cubicBezTo>
              <a:cubicBezTo>
                <a:pt x="437715" y="175012"/>
                <a:pt x="430925" y="174539"/>
                <a:pt x="425987" y="171247"/>
              </a:cubicBezTo>
              <a:cubicBezTo>
                <a:pt x="422864" y="169165"/>
                <a:pt x="420679" y="165938"/>
                <a:pt x="418025" y="163284"/>
              </a:cubicBezTo>
              <a:cubicBezTo>
                <a:pt x="416698" y="167265"/>
                <a:pt x="411605" y="171813"/>
                <a:pt x="414044" y="175228"/>
              </a:cubicBezTo>
              <a:cubicBezTo>
                <a:pt x="428232" y="195091"/>
                <a:pt x="449233" y="192199"/>
                <a:pt x="469781" y="195134"/>
              </a:cubicBezTo>
              <a:cubicBezTo>
                <a:pt x="477772" y="196276"/>
                <a:pt x="485706" y="197788"/>
                <a:pt x="493668" y="199115"/>
              </a:cubicBezTo>
              <a:cubicBezTo>
                <a:pt x="522863" y="196461"/>
                <a:pt x="552365" y="196134"/>
                <a:pt x="581254" y="191153"/>
              </a:cubicBezTo>
              <a:cubicBezTo>
                <a:pt x="591214" y="189436"/>
                <a:pt x="600082" y="183729"/>
                <a:pt x="609122" y="179209"/>
              </a:cubicBezTo>
              <a:cubicBezTo>
                <a:pt x="621422" y="173059"/>
                <a:pt x="639339" y="160936"/>
                <a:pt x="648934" y="151341"/>
              </a:cubicBezTo>
              <a:cubicBezTo>
                <a:pt x="653626" y="146649"/>
                <a:pt x="657021" y="140816"/>
                <a:pt x="660878" y="135416"/>
              </a:cubicBezTo>
              <a:cubicBezTo>
                <a:pt x="663659" y="131522"/>
                <a:pt x="666700" y="127752"/>
                <a:pt x="668840" y="123472"/>
              </a:cubicBezTo>
              <a:cubicBezTo>
                <a:pt x="670717" y="119719"/>
                <a:pt x="671494" y="115510"/>
                <a:pt x="672821" y="111529"/>
              </a:cubicBezTo>
              <a:cubicBezTo>
                <a:pt x="660408" y="103253"/>
                <a:pt x="655059" y="97326"/>
                <a:pt x="636991" y="99585"/>
              </a:cubicBezTo>
              <a:cubicBezTo>
                <a:pt x="633266" y="100051"/>
                <a:pt x="631682" y="104894"/>
                <a:pt x="629028" y="107548"/>
              </a:cubicBezTo>
              <a:cubicBezTo>
                <a:pt x="638138" y="116657"/>
                <a:pt x="638455" y="118652"/>
                <a:pt x="652915" y="123472"/>
              </a:cubicBezTo>
              <a:cubicBezTo>
                <a:pt x="659335" y="125612"/>
                <a:pt x="666293" y="125673"/>
                <a:pt x="672821" y="127454"/>
              </a:cubicBezTo>
              <a:cubicBezTo>
                <a:pt x="720815" y="140544"/>
                <a:pt x="670588" y="132151"/>
                <a:pt x="728558" y="139397"/>
              </a:cubicBezTo>
              <a:cubicBezTo>
                <a:pt x="822373" y="136162"/>
                <a:pt x="818079" y="158354"/>
                <a:pt x="859937" y="123472"/>
              </a:cubicBezTo>
              <a:cubicBezTo>
                <a:pt x="862821" y="121069"/>
                <a:pt x="865246" y="118164"/>
                <a:pt x="867900" y="115510"/>
              </a:cubicBezTo>
              <a:cubicBezTo>
                <a:pt x="869227" y="111529"/>
                <a:pt x="872102" y="107757"/>
                <a:pt x="871881" y="103566"/>
              </a:cubicBezTo>
              <a:cubicBezTo>
                <a:pt x="870756" y="82197"/>
                <a:pt x="870685" y="60167"/>
                <a:pt x="863918" y="39867"/>
              </a:cubicBezTo>
              <a:cubicBezTo>
                <a:pt x="862591" y="35886"/>
                <a:pt x="862265" y="31416"/>
                <a:pt x="859937" y="27924"/>
              </a:cubicBezTo>
              <a:cubicBezTo>
                <a:pt x="856814" y="23239"/>
                <a:pt x="852882" y="18773"/>
                <a:pt x="847994" y="15980"/>
              </a:cubicBezTo>
              <a:cubicBezTo>
                <a:pt x="843243" y="13265"/>
                <a:pt x="837330" y="13502"/>
                <a:pt x="832069" y="11999"/>
              </a:cubicBezTo>
              <a:cubicBezTo>
                <a:pt x="828034" y="10846"/>
                <a:pt x="824160" y="9171"/>
                <a:pt x="820125" y="8018"/>
              </a:cubicBezTo>
              <a:cubicBezTo>
                <a:pt x="814864" y="6515"/>
                <a:pt x="809462" y="5540"/>
                <a:pt x="804201" y="4037"/>
              </a:cubicBezTo>
              <a:cubicBezTo>
                <a:pt x="787328" y="-784"/>
                <a:pt x="797979" y="55"/>
                <a:pt x="784295" y="5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99530</xdr:colOff>
      <xdr:row>220</xdr:row>
      <xdr:rowOff>123417</xdr:rowOff>
    </xdr:from>
    <xdr:to>
      <xdr:col>10</xdr:col>
      <xdr:colOff>354325</xdr:colOff>
      <xdr:row>222</xdr:row>
      <xdr:rowOff>179154</xdr:rowOff>
    </xdr:to>
    <xdr:sp macro="" textlink="">
      <xdr:nvSpPr>
        <xdr:cNvPr id="81" name="Freeform 80">
          <a:extLst>
            <a:ext uri="{FF2B5EF4-FFF2-40B4-BE49-F238E27FC236}">
              <a16:creationId xmlns:a16="http://schemas.microsoft.com/office/drawing/2014/main" id="{C995DB5E-857B-4405-00C0-A02B7CA5C932}"/>
            </a:ext>
          </a:extLst>
        </xdr:cNvPr>
        <xdr:cNvSpPr/>
      </xdr:nvSpPr>
      <xdr:spPr>
        <a:xfrm>
          <a:off x="13493566866" y="45309937"/>
          <a:ext cx="1078902" cy="461819"/>
        </a:xfrm>
        <a:custGeom>
          <a:avLst/>
          <a:gdLst>
            <a:gd name="connsiteX0" fmla="*/ 59718 w 871893"/>
            <a:gd name="connsiteY0" fmla="*/ 55 h 266795"/>
            <a:gd name="connsiteX1" fmla="*/ 43793 w 871893"/>
            <a:gd name="connsiteY1" fmla="*/ 19961 h 266795"/>
            <a:gd name="connsiteX2" fmla="*/ 27868 w 871893"/>
            <a:gd name="connsiteY2" fmla="*/ 43849 h 266795"/>
            <a:gd name="connsiteX3" fmla="*/ 7962 w 871893"/>
            <a:gd name="connsiteY3" fmla="*/ 71717 h 266795"/>
            <a:gd name="connsiteX4" fmla="*/ 0 w 871893"/>
            <a:gd name="connsiteY4" fmla="*/ 107548 h 266795"/>
            <a:gd name="connsiteX5" fmla="*/ 3981 w 871893"/>
            <a:gd name="connsiteY5" fmla="*/ 159303 h 266795"/>
            <a:gd name="connsiteX6" fmla="*/ 15925 w 871893"/>
            <a:gd name="connsiteY6" fmla="*/ 195134 h 266795"/>
            <a:gd name="connsiteX7" fmla="*/ 19906 w 871893"/>
            <a:gd name="connsiteY7" fmla="*/ 207077 h 266795"/>
            <a:gd name="connsiteX8" fmla="*/ 47774 w 871893"/>
            <a:gd name="connsiteY8" fmla="*/ 219021 h 266795"/>
            <a:gd name="connsiteX9" fmla="*/ 131379 w 871893"/>
            <a:gd name="connsiteY9" fmla="*/ 203096 h 266795"/>
            <a:gd name="connsiteX10" fmla="*/ 143323 w 871893"/>
            <a:gd name="connsiteY10" fmla="*/ 191153 h 266795"/>
            <a:gd name="connsiteX11" fmla="*/ 147304 w 871893"/>
            <a:gd name="connsiteY11" fmla="*/ 219021 h 266795"/>
            <a:gd name="connsiteX12" fmla="*/ 171191 w 871893"/>
            <a:gd name="connsiteY12" fmla="*/ 234946 h 266795"/>
            <a:gd name="connsiteX13" fmla="*/ 218966 w 871893"/>
            <a:gd name="connsiteY13" fmla="*/ 250870 h 266795"/>
            <a:gd name="connsiteX14" fmla="*/ 254796 w 871893"/>
            <a:gd name="connsiteY14" fmla="*/ 258833 h 266795"/>
            <a:gd name="connsiteX15" fmla="*/ 290627 w 871893"/>
            <a:gd name="connsiteY15" fmla="*/ 262814 h 266795"/>
            <a:gd name="connsiteX16" fmla="*/ 322476 w 871893"/>
            <a:gd name="connsiteY16" fmla="*/ 266795 h 266795"/>
            <a:gd name="connsiteX17" fmla="*/ 382194 w 871893"/>
            <a:gd name="connsiteY17" fmla="*/ 254852 h 266795"/>
            <a:gd name="connsiteX18" fmla="*/ 410063 w 871893"/>
            <a:gd name="connsiteY18" fmla="*/ 234946 h 266795"/>
            <a:gd name="connsiteX19" fmla="*/ 429969 w 871893"/>
            <a:gd name="connsiteY19" fmla="*/ 215040 h 266795"/>
            <a:gd name="connsiteX20" fmla="*/ 445893 w 871893"/>
            <a:gd name="connsiteY20" fmla="*/ 191153 h 266795"/>
            <a:gd name="connsiteX21" fmla="*/ 441912 w 871893"/>
            <a:gd name="connsiteY21" fmla="*/ 179209 h 266795"/>
            <a:gd name="connsiteX22" fmla="*/ 425987 w 871893"/>
            <a:gd name="connsiteY22" fmla="*/ 171247 h 266795"/>
            <a:gd name="connsiteX23" fmla="*/ 418025 w 871893"/>
            <a:gd name="connsiteY23" fmla="*/ 163284 h 266795"/>
            <a:gd name="connsiteX24" fmla="*/ 414044 w 871893"/>
            <a:gd name="connsiteY24" fmla="*/ 175228 h 266795"/>
            <a:gd name="connsiteX25" fmla="*/ 469781 w 871893"/>
            <a:gd name="connsiteY25" fmla="*/ 195134 h 266795"/>
            <a:gd name="connsiteX26" fmla="*/ 493668 w 871893"/>
            <a:gd name="connsiteY26" fmla="*/ 199115 h 266795"/>
            <a:gd name="connsiteX27" fmla="*/ 581254 w 871893"/>
            <a:gd name="connsiteY27" fmla="*/ 191153 h 266795"/>
            <a:gd name="connsiteX28" fmla="*/ 609122 w 871893"/>
            <a:gd name="connsiteY28" fmla="*/ 179209 h 266795"/>
            <a:gd name="connsiteX29" fmla="*/ 648934 w 871893"/>
            <a:gd name="connsiteY29" fmla="*/ 151341 h 266795"/>
            <a:gd name="connsiteX30" fmla="*/ 660878 w 871893"/>
            <a:gd name="connsiteY30" fmla="*/ 135416 h 266795"/>
            <a:gd name="connsiteX31" fmla="*/ 668840 w 871893"/>
            <a:gd name="connsiteY31" fmla="*/ 123472 h 266795"/>
            <a:gd name="connsiteX32" fmla="*/ 672821 w 871893"/>
            <a:gd name="connsiteY32" fmla="*/ 111529 h 266795"/>
            <a:gd name="connsiteX33" fmla="*/ 636991 w 871893"/>
            <a:gd name="connsiteY33" fmla="*/ 99585 h 266795"/>
            <a:gd name="connsiteX34" fmla="*/ 629028 w 871893"/>
            <a:gd name="connsiteY34" fmla="*/ 107548 h 266795"/>
            <a:gd name="connsiteX35" fmla="*/ 652915 w 871893"/>
            <a:gd name="connsiteY35" fmla="*/ 123472 h 266795"/>
            <a:gd name="connsiteX36" fmla="*/ 672821 w 871893"/>
            <a:gd name="connsiteY36" fmla="*/ 127454 h 266795"/>
            <a:gd name="connsiteX37" fmla="*/ 728558 w 871893"/>
            <a:gd name="connsiteY37" fmla="*/ 139397 h 266795"/>
            <a:gd name="connsiteX38" fmla="*/ 859937 w 871893"/>
            <a:gd name="connsiteY38" fmla="*/ 123472 h 266795"/>
            <a:gd name="connsiteX39" fmla="*/ 867900 w 871893"/>
            <a:gd name="connsiteY39" fmla="*/ 115510 h 266795"/>
            <a:gd name="connsiteX40" fmla="*/ 871881 w 871893"/>
            <a:gd name="connsiteY40" fmla="*/ 103566 h 266795"/>
            <a:gd name="connsiteX41" fmla="*/ 863918 w 871893"/>
            <a:gd name="connsiteY41" fmla="*/ 39867 h 266795"/>
            <a:gd name="connsiteX42" fmla="*/ 859937 w 871893"/>
            <a:gd name="connsiteY42" fmla="*/ 27924 h 266795"/>
            <a:gd name="connsiteX43" fmla="*/ 847994 w 871893"/>
            <a:gd name="connsiteY43" fmla="*/ 15980 h 266795"/>
            <a:gd name="connsiteX44" fmla="*/ 832069 w 871893"/>
            <a:gd name="connsiteY44" fmla="*/ 11999 h 266795"/>
            <a:gd name="connsiteX45" fmla="*/ 820125 w 871893"/>
            <a:gd name="connsiteY45" fmla="*/ 8018 h 266795"/>
            <a:gd name="connsiteX46" fmla="*/ 804201 w 871893"/>
            <a:gd name="connsiteY46" fmla="*/ 4037 h 266795"/>
            <a:gd name="connsiteX47" fmla="*/ 784295 w 871893"/>
            <a:gd name="connsiteY47" fmla="*/ 55 h 26679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Lst>
          <a:rect l="l" t="t" r="r" b="b"/>
          <a:pathLst>
            <a:path w="871893" h="266795">
              <a:moveTo>
                <a:pt x="59718" y="55"/>
              </a:moveTo>
              <a:cubicBezTo>
                <a:pt x="54410" y="6690"/>
                <a:pt x="48791" y="13089"/>
                <a:pt x="43793" y="19961"/>
              </a:cubicBezTo>
              <a:cubicBezTo>
                <a:pt x="38164" y="27701"/>
                <a:pt x="33610" y="36193"/>
                <a:pt x="27868" y="43849"/>
              </a:cubicBezTo>
              <a:cubicBezTo>
                <a:pt x="13054" y="63601"/>
                <a:pt x="19606" y="54252"/>
                <a:pt x="7962" y="71717"/>
              </a:cubicBezTo>
              <a:cubicBezTo>
                <a:pt x="6427" y="77859"/>
                <a:pt x="0" y="102494"/>
                <a:pt x="0" y="107548"/>
              </a:cubicBezTo>
              <a:cubicBezTo>
                <a:pt x="0" y="124851"/>
                <a:pt x="2259" y="142086"/>
                <a:pt x="3981" y="159303"/>
              </a:cubicBezTo>
              <a:cubicBezTo>
                <a:pt x="6989" y="189383"/>
                <a:pt x="1928" y="181137"/>
                <a:pt x="15925" y="195134"/>
              </a:cubicBezTo>
              <a:cubicBezTo>
                <a:pt x="17252" y="199115"/>
                <a:pt x="17747" y="203479"/>
                <a:pt x="19906" y="207077"/>
              </a:cubicBezTo>
              <a:cubicBezTo>
                <a:pt x="26859" y="218667"/>
                <a:pt x="34631" y="216393"/>
                <a:pt x="47774" y="219021"/>
              </a:cubicBezTo>
              <a:cubicBezTo>
                <a:pt x="87185" y="214642"/>
                <a:pt x="106806" y="223573"/>
                <a:pt x="131379" y="203096"/>
              </a:cubicBezTo>
              <a:cubicBezTo>
                <a:pt x="135704" y="199492"/>
                <a:pt x="139342" y="195134"/>
                <a:pt x="143323" y="191153"/>
              </a:cubicBezTo>
              <a:cubicBezTo>
                <a:pt x="143323" y="191153"/>
                <a:pt x="142266" y="211104"/>
                <a:pt x="147304" y="219021"/>
              </a:cubicBezTo>
              <a:cubicBezTo>
                <a:pt x="152442" y="227095"/>
                <a:pt x="162790" y="230364"/>
                <a:pt x="171191" y="234946"/>
              </a:cubicBezTo>
              <a:cubicBezTo>
                <a:pt x="182745" y="241248"/>
                <a:pt x="207644" y="248039"/>
                <a:pt x="218966" y="250870"/>
              </a:cubicBezTo>
              <a:cubicBezTo>
                <a:pt x="230835" y="253837"/>
                <a:pt x="242728" y="256822"/>
                <a:pt x="254796" y="258833"/>
              </a:cubicBezTo>
              <a:cubicBezTo>
                <a:pt x="266650" y="260809"/>
                <a:pt x="278692" y="261410"/>
                <a:pt x="290627" y="262814"/>
              </a:cubicBezTo>
              <a:lnTo>
                <a:pt x="322476" y="266795"/>
              </a:lnTo>
              <a:cubicBezTo>
                <a:pt x="339766" y="264634"/>
                <a:pt x="365842" y="263028"/>
                <a:pt x="382194" y="254852"/>
              </a:cubicBezTo>
              <a:cubicBezTo>
                <a:pt x="392405" y="249747"/>
                <a:pt x="401293" y="242254"/>
                <a:pt x="410063" y="234946"/>
              </a:cubicBezTo>
              <a:cubicBezTo>
                <a:pt x="417272" y="228939"/>
                <a:pt x="424027" y="222303"/>
                <a:pt x="429969" y="215040"/>
              </a:cubicBezTo>
              <a:cubicBezTo>
                <a:pt x="436029" y="207634"/>
                <a:pt x="445893" y="191153"/>
                <a:pt x="445893" y="191153"/>
              </a:cubicBezTo>
              <a:cubicBezTo>
                <a:pt x="444566" y="187172"/>
                <a:pt x="444879" y="182176"/>
                <a:pt x="441912" y="179209"/>
              </a:cubicBezTo>
              <a:cubicBezTo>
                <a:pt x="437715" y="175012"/>
                <a:pt x="430925" y="174539"/>
                <a:pt x="425987" y="171247"/>
              </a:cubicBezTo>
              <a:cubicBezTo>
                <a:pt x="422864" y="169165"/>
                <a:pt x="420679" y="165938"/>
                <a:pt x="418025" y="163284"/>
              </a:cubicBezTo>
              <a:cubicBezTo>
                <a:pt x="416698" y="167265"/>
                <a:pt x="411605" y="171813"/>
                <a:pt x="414044" y="175228"/>
              </a:cubicBezTo>
              <a:cubicBezTo>
                <a:pt x="428232" y="195091"/>
                <a:pt x="449233" y="192199"/>
                <a:pt x="469781" y="195134"/>
              </a:cubicBezTo>
              <a:cubicBezTo>
                <a:pt x="477772" y="196276"/>
                <a:pt x="485706" y="197788"/>
                <a:pt x="493668" y="199115"/>
              </a:cubicBezTo>
              <a:cubicBezTo>
                <a:pt x="522863" y="196461"/>
                <a:pt x="552365" y="196134"/>
                <a:pt x="581254" y="191153"/>
              </a:cubicBezTo>
              <a:cubicBezTo>
                <a:pt x="591214" y="189436"/>
                <a:pt x="600082" y="183729"/>
                <a:pt x="609122" y="179209"/>
              </a:cubicBezTo>
              <a:cubicBezTo>
                <a:pt x="621422" y="173059"/>
                <a:pt x="639339" y="160936"/>
                <a:pt x="648934" y="151341"/>
              </a:cubicBezTo>
              <a:cubicBezTo>
                <a:pt x="653626" y="146649"/>
                <a:pt x="657021" y="140816"/>
                <a:pt x="660878" y="135416"/>
              </a:cubicBezTo>
              <a:cubicBezTo>
                <a:pt x="663659" y="131522"/>
                <a:pt x="666700" y="127752"/>
                <a:pt x="668840" y="123472"/>
              </a:cubicBezTo>
              <a:cubicBezTo>
                <a:pt x="670717" y="119719"/>
                <a:pt x="671494" y="115510"/>
                <a:pt x="672821" y="111529"/>
              </a:cubicBezTo>
              <a:cubicBezTo>
                <a:pt x="660408" y="103253"/>
                <a:pt x="655059" y="97326"/>
                <a:pt x="636991" y="99585"/>
              </a:cubicBezTo>
              <a:cubicBezTo>
                <a:pt x="633266" y="100051"/>
                <a:pt x="631682" y="104894"/>
                <a:pt x="629028" y="107548"/>
              </a:cubicBezTo>
              <a:cubicBezTo>
                <a:pt x="638138" y="116657"/>
                <a:pt x="638455" y="118652"/>
                <a:pt x="652915" y="123472"/>
              </a:cubicBezTo>
              <a:cubicBezTo>
                <a:pt x="659335" y="125612"/>
                <a:pt x="666293" y="125673"/>
                <a:pt x="672821" y="127454"/>
              </a:cubicBezTo>
              <a:cubicBezTo>
                <a:pt x="720815" y="140544"/>
                <a:pt x="670588" y="132151"/>
                <a:pt x="728558" y="139397"/>
              </a:cubicBezTo>
              <a:cubicBezTo>
                <a:pt x="822373" y="136162"/>
                <a:pt x="818079" y="158354"/>
                <a:pt x="859937" y="123472"/>
              </a:cubicBezTo>
              <a:cubicBezTo>
                <a:pt x="862821" y="121069"/>
                <a:pt x="865246" y="118164"/>
                <a:pt x="867900" y="115510"/>
              </a:cubicBezTo>
              <a:cubicBezTo>
                <a:pt x="869227" y="111529"/>
                <a:pt x="872102" y="107757"/>
                <a:pt x="871881" y="103566"/>
              </a:cubicBezTo>
              <a:cubicBezTo>
                <a:pt x="870756" y="82197"/>
                <a:pt x="870685" y="60167"/>
                <a:pt x="863918" y="39867"/>
              </a:cubicBezTo>
              <a:cubicBezTo>
                <a:pt x="862591" y="35886"/>
                <a:pt x="862265" y="31416"/>
                <a:pt x="859937" y="27924"/>
              </a:cubicBezTo>
              <a:cubicBezTo>
                <a:pt x="856814" y="23239"/>
                <a:pt x="852882" y="18773"/>
                <a:pt x="847994" y="15980"/>
              </a:cubicBezTo>
              <a:cubicBezTo>
                <a:pt x="843243" y="13265"/>
                <a:pt x="837330" y="13502"/>
                <a:pt x="832069" y="11999"/>
              </a:cubicBezTo>
              <a:cubicBezTo>
                <a:pt x="828034" y="10846"/>
                <a:pt x="824160" y="9171"/>
                <a:pt x="820125" y="8018"/>
              </a:cubicBezTo>
              <a:cubicBezTo>
                <a:pt x="814864" y="6515"/>
                <a:pt x="809462" y="5540"/>
                <a:pt x="804201" y="4037"/>
              </a:cubicBezTo>
              <a:cubicBezTo>
                <a:pt x="787328" y="-784"/>
                <a:pt x="797979" y="55"/>
                <a:pt x="784295" y="5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71661</xdr:colOff>
      <xdr:row>220</xdr:row>
      <xdr:rowOff>99529</xdr:rowOff>
    </xdr:from>
    <xdr:ext cx="756207" cy="502885"/>
    <xdr:pic>
      <xdr:nvPicPr>
        <xdr:cNvPr id="82" name="Picture 81" descr="One Mouldy Carrot. Rotten And Uneatable. Isolated On White Background.  Stock Photo, Picture and Royalty Free Image. Image 144115907.">
          <a:extLst>
            <a:ext uri="{FF2B5EF4-FFF2-40B4-BE49-F238E27FC236}">
              <a16:creationId xmlns:a16="http://schemas.microsoft.com/office/drawing/2014/main" id="{0CDC0C47-4C01-C7DF-FCC0-E2ECF394BACE}"/>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741536" y="45286049"/>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266111</xdr:colOff>
      <xdr:row>213</xdr:row>
      <xdr:rowOff>98749</xdr:rowOff>
    </xdr:from>
    <xdr:ext cx="1294296" cy="860719"/>
    <xdr:pic>
      <xdr:nvPicPr>
        <xdr:cNvPr id="83" name="Picture 82" descr="One Mouldy Carrot. Rotten And Uneatable. Isolated On White Background.  Stock Photo, Picture and Royalty Free Image. Image 144115907.">
          <a:extLst>
            <a:ext uri="{FF2B5EF4-FFF2-40B4-BE49-F238E27FC236}">
              <a16:creationId xmlns:a16="http://schemas.microsoft.com/office/drawing/2014/main" id="{A794CA26-3CA1-4C3F-AB68-978C27BE95D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833104" y="43863984"/>
          <a:ext cx="1294296" cy="8607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688746</xdr:colOff>
      <xdr:row>222</xdr:row>
      <xdr:rowOff>190317</xdr:rowOff>
    </xdr:from>
    <xdr:ext cx="740281" cy="492294"/>
    <xdr:pic>
      <xdr:nvPicPr>
        <xdr:cNvPr id="84" name="Picture 83" descr="One Mouldy Carrot. Rotten And Uneatable. Isolated On White Background.  Stock Photo, Picture and Royalty Free Image. Image 144115907.">
          <a:extLst>
            <a:ext uri="{FF2B5EF4-FFF2-40B4-BE49-F238E27FC236}">
              <a16:creationId xmlns:a16="http://schemas.microsoft.com/office/drawing/2014/main" id="{0220E4A4-D971-A74F-C5C4-E0CD35B4B2E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140377" y="45782919"/>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481725</xdr:colOff>
      <xdr:row>224</xdr:row>
      <xdr:rowOff>82825</xdr:rowOff>
    </xdr:from>
    <xdr:ext cx="1096733" cy="729338"/>
    <xdr:pic>
      <xdr:nvPicPr>
        <xdr:cNvPr id="85" name="Picture 84" descr="One Mouldy Carrot. Rotten And Uneatable. Isolated On White Background.  Stock Photo, Picture and Royalty Free Image. Image 144115907.">
          <a:extLst>
            <a:ext uri="{FF2B5EF4-FFF2-40B4-BE49-F238E27FC236}">
              <a16:creationId xmlns:a16="http://schemas.microsoft.com/office/drawing/2014/main" id="{12148ACD-F7A3-A342-1D25-C8849EB1402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166840" y="46081508"/>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286647</xdr:colOff>
      <xdr:row>217</xdr:row>
      <xdr:rowOff>19126</xdr:rowOff>
    </xdr:from>
    <xdr:ext cx="1096733" cy="729338"/>
    <xdr:pic>
      <xdr:nvPicPr>
        <xdr:cNvPr id="86" name="Picture 85" descr="One Mouldy Carrot. Rotten And Uneatable. Isolated On White Background.  Stock Photo, Picture and Royalty Free Image. Image 144115907.">
          <a:extLst>
            <a:ext uri="{FF2B5EF4-FFF2-40B4-BE49-F238E27FC236}">
              <a16:creationId xmlns:a16="http://schemas.microsoft.com/office/drawing/2014/main" id="{480D985E-24C0-F87F-184E-676A14DC1A6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537811" y="44596524"/>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306553</xdr:colOff>
      <xdr:row>220</xdr:row>
      <xdr:rowOff>94769</xdr:rowOff>
    </xdr:from>
    <xdr:ext cx="1096733" cy="729338"/>
    <xdr:pic>
      <xdr:nvPicPr>
        <xdr:cNvPr id="87" name="Picture 86" descr="One Mouldy Carrot. Rotten And Uneatable. Isolated On White Background.  Stock Photo, Picture and Royalty Free Image. Image 144115907.">
          <a:extLst>
            <a:ext uri="{FF2B5EF4-FFF2-40B4-BE49-F238E27FC236}">
              <a16:creationId xmlns:a16="http://schemas.microsoft.com/office/drawing/2014/main" id="{CE532660-5734-B752-4F41-35CCE7B5C61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517905" y="45281289"/>
          <a:ext cx="1096733" cy="7293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342383</xdr:colOff>
      <xdr:row>223</xdr:row>
      <xdr:rowOff>107491</xdr:rowOff>
    </xdr:from>
    <xdr:ext cx="730373" cy="485705"/>
    <xdr:pic>
      <xdr:nvPicPr>
        <xdr:cNvPr id="88" name="Picture 87" descr="One Mouldy Carrot. Rotten And Uneatable. Isolated On White Background.  Stock Photo, Picture and Royalty Free Image. Image 144115907.">
          <a:extLst>
            <a:ext uri="{FF2B5EF4-FFF2-40B4-BE49-F238E27FC236}">
              <a16:creationId xmlns:a16="http://schemas.microsoft.com/office/drawing/2014/main" id="{9C82E7DC-36CF-80B3-2106-FCAC26BC0F64}"/>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848435" y="45903134"/>
          <a:ext cx="730373" cy="4857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31850</xdr:colOff>
      <xdr:row>215</xdr:row>
      <xdr:rowOff>158467</xdr:rowOff>
    </xdr:from>
    <xdr:ext cx="740281" cy="492294"/>
    <xdr:pic>
      <xdr:nvPicPr>
        <xdr:cNvPr id="89" name="Picture 88" descr="One Mouldy Carrot. Rotten And Uneatable. Isolated On White Background.  Stock Photo, Picture and Royalty Free Image. Image 144115907.">
          <a:extLst>
            <a:ext uri="{FF2B5EF4-FFF2-40B4-BE49-F238E27FC236}">
              <a16:creationId xmlns:a16="http://schemas.microsoft.com/office/drawing/2014/main" id="{0D846176-9A2E-D00E-4162-B67E3FA859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324954" y="44329784"/>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684765</xdr:colOff>
      <xdr:row>213</xdr:row>
      <xdr:rowOff>7182</xdr:rowOff>
    </xdr:from>
    <xdr:ext cx="740281" cy="492294"/>
    <xdr:pic>
      <xdr:nvPicPr>
        <xdr:cNvPr id="90" name="Picture 89" descr="One Mouldy Carrot. Rotten And Uneatable. Isolated On White Background.  Stock Photo, Picture and Royalty Free Image. Image 144115907.">
          <a:extLst>
            <a:ext uri="{FF2B5EF4-FFF2-40B4-BE49-F238E27FC236}">
              <a16:creationId xmlns:a16="http://schemas.microsoft.com/office/drawing/2014/main" id="{57F404FB-851A-3003-4F3E-F38DB51F543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496145" y="43772417"/>
          <a:ext cx="740281" cy="49229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63699</xdr:colOff>
      <xdr:row>222</xdr:row>
      <xdr:rowOff>183133</xdr:rowOff>
    </xdr:from>
    <xdr:ext cx="756207" cy="502885"/>
    <xdr:pic>
      <xdr:nvPicPr>
        <xdr:cNvPr id="91" name="Picture 90" descr="One Mouldy Carrot. Rotten And Uneatable. Isolated On White Background.  Stock Photo, Picture and Royalty Free Image. Image 144115907.">
          <a:extLst>
            <a:ext uri="{FF2B5EF4-FFF2-40B4-BE49-F238E27FC236}">
              <a16:creationId xmlns:a16="http://schemas.microsoft.com/office/drawing/2014/main" id="{646BD498-44E4-9AA0-D840-B63B5C181A5B}"/>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749498" y="45775735"/>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222947</xdr:colOff>
      <xdr:row>221</xdr:row>
      <xdr:rowOff>31848</xdr:rowOff>
    </xdr:from>
    <xdr:ext cx="756207" cy="502885"/>
    <xdr:pic>
      <xdr:nvPicPr>
        <xdr:cNvPr id="92" name="Picture 91" descr="One Mouldy Carrot. Rotten And Uneatable. Isolated On White Background.  Stock Photo, Picture and Royalty Free Image. Image 144115907.">
          <a:extLst>
            <a:ext uri="{FF2B5EF4-FFF2-40B4-BE49-F238E27FC236}">
              <a16:creationId xmlns:a16="http://schemas.microsoft.com/office/drawing/2014/main" id="{5F9F5684-13D2-CBE1-BD84-8D2440032E63}"/>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414357" y="45421409"/>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700690</xdr:colOff>
      <xdr:row>225</xdr:row>
      <xdr:rowOff>107490</xdr:rowOff>
    </xdr:from>
    <xdr:ext cx="756207" cy="502885"/>
    <xdr:pic>
      <xdr:nvPicPr>
        <xdr:cNvPr id="93" name="Picture 92" descr="One Mouldy Carrot. Rotten And Uneatable. Isolated On White Background.  Stock Photo, Picture and Royalty Free Image. Image 144115907.">
          <a:extLst>
            <a:ext uri="{FF2B5EF4-FFF2-40B4-BE49-F238E27FC236}">
              <a16:creationId xmlns:a16="http://schemas.microsoft.com/office/drawing/2014/main" id="{4524EE03-35D9-05A0-1971-D55C3CFA1D4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112507" y="46309214"/>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35832</xdr:colOff>
      <xdr:row>227</xdr:row>
      <xdr:rowOff>163226</xdr:rowOff>
    </xdr:from>
    <xdr:ext cx="756207" cy="502885"/>
    <xdr:pic>
      <xdr:nvPicPr>
        <xdr:cNvPr id="94" name="Picture 93" descr="One Mouldy Carrot. Rotten And Uneatable. Isolated On White Background.  Stock Photo, Picture and Royalty Free Image. Image 144115907.">
          <a:extLst>
            <a:ext uri="{FF2B5EF4-FFF2-40B4-BE49-F238E27FC236}">
              <a16:creationId xmlns:a16="http://schemas.microsoft.com/office/drawing/2014/main" id="{7C4A5F7E-7284-6F3D-CA59-CB61F8329F7A}"/>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129152" y="46771032"/>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800221</xdr:colOff>
      <xdr:row>226</xdr:row>
      <xdr:rowOff>91565</xdr:rowOff>
    </xdr:from>
    <xdr:ext cx="756207" cy="502885"/>
    <xdr:pic>
      <xdr:nvPicPr>
        <xdr:cNvPr id="95" name="Picture 94" descr="One Mouldy Carrot. Rotten And Uneatable. Isolated On White Background.  Stock Photo, Picture and Royalty Free Image. Image 144115907.">
          <a:extLst>
            <a:ext uri="{FF2B5EF4-FFF2-40B4-BE49-F238E27FC236}">
              <a16:creationId xmlns:a16="http://schemas.microsoft.com/office/drawing/2014/main" id="{4C45316A-510A-9811-5672-AA7849710CD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2364763" y="46496330"/>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175174</xdr:colOff>
      <xdr:row>228</xdr:row>
      <xdr:rowOff>95546</xdr:rowOff>
    </xdr:from>
    <xdr:ext cx="756207" cy="502885"/>
    <xdr:pic>
      <xdr:nvPicPr>
        <xdr:cNvPr id="96" name="Picture 95" descr="One Mouldy Carrot. Rotten And Uneatable. Isolated On White Background.  Stock Photo, Picture and Royalty Free Image. Image 144115907.">
          <a:extLst>
            <a:ext uri="{FF2B5EF4-FFF2-40B4-BE49-F238E27FC236}">
              <a16:creationId xmlns:a16="http://schemas.microsoft.com/office/drawing/2014/main" id="{516DC7DC-5D3B-5779-7111-C5CCE439A751}"/>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3813917" y="46906392"/>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218967</xdr:colOff>
      <xdr:row>227</xdr:row>
      <xdr:rowOff>67677</xdr:rowOff>
    </xdr:from>
    <xdr:ext cx="756207" cy="502885"/>
    <xdr:pic>
      <xdr:nvPicPr>
        <xdr:cNvPr id="97" name="Picture 96" descr="One Mouldy Carrot. Rotten And Uneatable. Isolated On White Background.  Stock Photo, Picture and Royalty Free Image. Image 144115907.">
          <a:extLst>
            <a:ext uri="{FF2B5EF4-FFF2-40B4-BE49-F238E27FC236}">
              <a16:creationId xmlns:a16="http://schemas.microsoft.com/office/drawing/2014/main" id="{8C2562C1-7CF2-2692-D432-D2712B6EA9DB}"/>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4594230" y="46675483"/>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481726</xdr:colOff>
      <xdr:row>224</xdr:row>
      <xdr:rowOff>163227</xdr:rowOff>
    </xdr:from>
    <xdr:ext cx="756207" cy="502885"/>
    <xdr:pic>
      <xdr:nvPicPr>
        <xdr:cNvPr id="98" name="Picture 97" descr="One Mouldy Carrot. Rotten And Uneatable. Isolated On White Background.  Stock Photo, Picture and Royalty Free Image. Image 144115907.">
          <a:extLst>
            <a:ext uri="{FF2B5EF4-FFF2-40B4-BE49-F238E27FC236}">
              <a16:creationId xmlns:a16="http://schemas.microsoft.com/office/drawing/2014/main" id="{F81A4E3E-0F18-69BF-5A79-11592193756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155578" y="46161910"/>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545425</xdr:colOff>
      <xdr:row>222</xdr:row>
      <xdr:rowOff>155264</xdr:rowOff>
    </xdr:from>
    <xdr:ext cx="756207" cy="502885"/>
    <xdr:pic>
      <xdr:nvPicPr>
        <xdr:cNvPr id="99" name="Picture 98" descr="One Mouldy Carrot. Rotten And Uneatable. Isolated On White Background.  Stock Photo, Picture and Royalty Free Image. Image 144115907.">
          <a:extLst>
            <a:ext uri="{FF2B5EF4-FFF2-40B4-BE49-F238E27FC236}">
              <a16:creationId xmlns:a16="http://schemas.microsoft.com/office/drawing/2014/main" id="{8ABF15F3-6126-9F58-E631-5B31FB219FC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3495915986" y="45747866"/>
          <a:ext cx="756207" cy="5028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549404</xdr:colOff>
      <xdr:row>229</xdr:row>
      <xdr:rowOff>191097</xdr:rowOff>
    </xdr:from>
    <xdr:to>
      <xdr:col>1</xdr:col>
      <xdr:colOff>394137</xdr:colOff>
      <xdr:row>234</xdr:row>
      <xdr:rowOff>131379</xdr:rowOff>
    </xdr:to>
    <xdr:sp macro="" textlink="">
      <xdr:nvSpPr>
        <xdr:cNvPr id="100" name="Oval 99">
          <a:extLst>
            <a:ext uri="{FF2B5EF4-FFF2-40B4-BE49-F238E27FC236}">
              <a16:creationId xmlns:a16="http://schemas.microsoft.com/office/drawing/2014/main" id="{AE044F2D-A63F-3866-FE84-DE91A9C7A652}"/>
            </a:ext>
          </a:extLst>
        </xdr:cNvPr>
        <xdr:cNvSpPr/>
      </xdr:nvSpPr>
      <xdr:spPr>
        <a:xfrm>
          <a:off x="13500944013" y="47204984"/>
          <a:ext cx="668840" cy="955486"/>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805863</xdr:colOff>
      <xdr:row>229</xdr:row>
      <xdr:rowOff>118795</xdr:rowOff>
    </xdr:from>
    <xdr:to>
      <xdr:col>1</xdr:col>
      <xdr:colOff>537472</xdr:colOff>
      <xdr:row>233</xdr:row>
      <xdr:rowOff>131420</xdr:rowOff>
    </xdr:to>
    <xdr:sp macro="" textlink="">
      <xdr:nvSpPr>
        <xdr:cNvPr id="101" name="Freeform 100">
          <a:extLst>
            <a:ext uri="{FF2B5EF4-FFF2-40B4-BE49-F238E27FC236}">
              <a16:creationId xmlns:a16="http://schemas.microsoft.com/office/drawing/2014/main" id="{B72DCBE4-0A93-5C63-B948-4D06A6F004D8}"/>
            </a:ext>
          </a:extLst>
        </xdr:cNvPr>
        <xdr:cNvSpPr/>
      </xdr:nvSpPr>
      <xdr:spPr>
        <a:xfrm>
          <a:off x="13500800678" y="47132682"/>
          <a:ext cx="555716" cy="824788"/>
        </a:xfrm>
        <a:custGeom>
          <a:avLst/>
          <a:gdLst>
            <a:gd name="connsiteX0" fmla="*/ 501642 w 555716"/>
            <a:gd name="connsiteY0" fmla="*/ 32490 h 824788"/>
            <a:gd name="connsiteX1" fmla="*/ 477755 w 555716"/>
            <a:gd name="connsiteY1" fmla="*/ 40453 h 824788"/>
            <a:gd name="connsiteX2" fmla="*/ 437943 w 555716"/>
            <a:gd name="connsiteY2" fmla="*/ 52396 h 824788"/>
            <a:gd name="connsiteX3" fmla="*/ 422018 w 555716"/>
            <a:gd name="connsiteY3" fmla="*/ 64340 h 824788"/>
            <a:gd name="connsiteX4" fmla="*/ 410074 w 555716"/>
            <a:gd name="connsiteY4" fmla="*/ 72302 h 824788"/>
            <a:gd name="connsiteX5" fmla="*/ 398131 w 555716"/>
            <a:gd name="connsiteY5" fmla="*/ 84246 h 824788"/>
            <a:gd name="connsiteX6" fmla="*/ 374244 w 555716"/>
            <a:gd name="connsiteY6" fmla="*/ 100171 h 824788"/>
            <a:gd name="connsiteX7" fmla="*/ 366281 w 555716"/>
            <a:gd name="connsiteY7" fmla="*/ 108133 h 824788"/>
            <a:gd name="connsiteX8" fmla="*/ 342394 w 555716"/>
            <a:gd name="connsiteY8" fmla="*/ 124058 h 824788"/>
            <a:gd name="connsiteX9" fmla="*/ 298601 w 555716"/>
            <a:gd name="connsiteY9" fmla="*/ 167851 h 824788"/>
            <a:gd name="connsiteX10" fmla="*/ 278695 w 555716"/>
            <a:gd name="connsiteY10" fmla="*/ 191738 h 824788"/>
            <a:gd name="connsiteX11" fmla="*/ 258789 w 555716"/>
            <a:gd name="connsiteY11" fmla="*/ 211644 h 824788"/>
            <a:gd name="connsiteX12" fmla="*/ 230921 w 555716"/>
            <a:gd name="connsiteY12" fmla="*/ 247475 h 824788"/>
            <a:gd name="connsiteX13" fmla="*/ 222958 w 555716"/>
            <a:gd name="connsiteY13" fmla="*/ 259418 h 824788"/>
            <a:gd name="connsiteX14" fmla="*/ 211015 w 555716"/>
            <a:gd name="connsiteY14" fmla="*/ 271362 h 824788"/>
            <a:gd name="connsiteX15" fmla="*/ 175184 w 555716"/>
            <a:gd name="connsiteY15" fmla="*/ 323117 h 824788"/>
            <a:gd name="connsiteX16" fmla="*/ 151297 w 555716"/>
            <a:gd name="connsiteY16" fmla="*/ 354967 h 824788"/>
            <a:gd name="connsiteX17" fmla="*/ 131391 w 555716"/>
            <a:gd name="connsiteY17" fmla="*/ 394779 h 824788"/>
            <a:gd name="connsiteX18" fmla="*/ 115466 w 555716"/>
            <a:gd name="connsiteY18" fmla="*/ 418666 h 824788"/>
            <a:gd name="connsiteX19" fmla="*/ 107504 w 555716"/>
            <a:gd name="connsiteY19" fmla="*/ 498290 h 824788"/>
            <a:gd name="connsiteX20" fmla="*/ 95560 w 555716"/>
            <a:gd name="connsiteY20" fmla="*/ 554026 h 824788"/>
            <a:gd name="connsiteX21" fmla="*/ 83617 w 555716"/>
            <a:gd name="connsiteY21" fmla="*/ 633650 h 824788"/>
            <a:gd name="connsiteX22" fmla="*/ 75654 w 555716"/>
            <a:gd name="connsiteY22" fmla="*/ 669481 h 824788"/>
            <a:gd name="connsiteX23" fmla="*/ 71673 w 555716"/>
            <a:gd name="connsiteY23" fmla="*/ 693368 h 824788"/>
            <a:gd name="connsiteX24" fmla="*/ 63711 w 555716"/>
            <a:gd name="connsiteY24" fmla="*/ 733180 h 824788"/>
            <a:gd name="connsiteX25" fmla="*/ 67692 w 555716"/>
            <a:gd name="connsiteY25" fmla="*/ 761048 h 824788"/>
            <a:gd name="connsiteX26" fmla="*/ 63711 w 555716"/>
            <a:gd name="connsiteY26" fmla="*/ 820766 h 824788"/>
            <a:gd name="connsiteX27" fmla="*/ 71673 w 555716"/>
            <a:gd name="connsiteY27" fmla="*/ 689387 h 824788"/>
            <a:gd name="connsiteX28" fmla="*/ 79635 w 555716"/>
            <a:gd name="connsiteY28" fmla="*/ 625688 h 824788"/>
            <a:gd name="connsiteX29" fmla="*/ 143335 w 555716"/>
            <a:gd name="connsiteY29" fmla="*/ 370892 h 824788"/>
            <a:gd name="connsiteX30" fmla="*/ 214996 w 555716"/>
            <a:gd name="connsiteY30" fmla="*/ 243494 h 824788"/>
            <a:gd name="connsiteX31" fmla="*/ 322488 w 555716"/>
            <a:gd name="connsiteY31" fmla="*/ 136001 h 824788"/>
            <a:gd name="connsiteX32" fmla="*/ 402112 w 555716"/>
            <a:gd name="connsiteY32" fmla="*/ 84246 h 824788"/>
            <a:gd name="connsiteX33" fmla="*/ 429980 w 555716"/>
            <a:gd name="connsiteY33" fmla="*/ 72302 h 824788"/>
            <a:gd name="connsiteX34" fmla="*/ 477755 w 555716"/>
            <a:gd name="connsiteY34" fmla="*/ 44434 h 824788"/>
            <a:gd name="connsiteX35" fmla="*/ 505623 w 555716"/>
            <a:gd name="connsiteY35" fmla="*/ 28509 h 824788"/>
            <a:gd name="connsiteX36" fmla="*/ 521548 w 555716"/>
            <a:gd name="connsiteY36" fmla="*/ 16566 h 824788"/>
            <a:gd name="connsiteX37" fmla="*/ 553397 w 555716"/>
            <a:gd name="connsiteY37" fmla="*/ 641 h 824788"/>
            <a:gd name="connsiteX38" fmla="*/ 521548 w 555716"/>
            <a:gd name="connsiteY38" fmla="*/ 8603 h 824788"/>
            <a:gd name="connsiteX39" fmla="*/ 493679 w 555716"/>
            <a:gd name="connsiteY39" fmla="*/ 16566 h 824788"/>
            <a:gd name="connsiteX40" fmla="*/ 457849 w 555716"/>
            <a:gd name="connsiteY40" fmla="*/ 24528 h 824788"/>
            <a:gd name="connsiteX41" fmla="*/ 326469 w 555716"/>
            <a:gd name="connsiteY41" fmla="*/ 76284 h 824788"/>
            <a:gd name="connsiteX42" fmla="*/ 286657 w 555716"/>
            <a:gd name="connsiteY42" fmla="*/ 100171 h 824788"/>
            <a:gd name="connsiteX43" fmla="*/ 254808 w 555716"/>
            <a:gd name="connsiteY43" fmla="*/ 116095 h 824788"/>
            <a:gd name="connsiteX44" fmla="*/ 230921 w 555716"/>
            <a:gd name="connsiteY44" fmla="*/ 132020 h 824788"/>
            <a:gd name="connsiteX45" fmla="*/ 195090 w 555716"/>
            <a:gd name="connsiteY45" fmla="*/ 163870 h 824788"/>
            <a:gd name="connsiteX46" fmla="*/ 183146 w 555716"/>
            <a:gd name="connsiteY46" fmla="*/ 179794 h 824788"/>
            <a:gd name="connsiteX47" fmla="*/ 167222 w 555716"/>
            <a:gd name="connsiteY47" fmla="*/ 203682 h 824788"/>
            <a:gd name="connsiteX48" fmla="*/ 163240 w 555716"/>
            <a:gd name="connsiteY48" fmla="*/ 219606 h 824788"/>
            <a:gd name="connsiteX49" fmla="*/ 151297 w 555716"/>
            <a:gd name="connsiteY49" fmla="*/ 251456 h 824788"/>
            <a:gd name="connsiteX50" fmla="*/ 139353 w 555716"/>
            <a:gd name="connsiteY50" fmla="*/ 275343 h 824788"/>
            <a:gd name="connsiteX51" fmla="*/ 131391 w 555716"/>
            <a:gd name="connsiteY51" fmla="*/ 311174 h 824788"/>
            <a:gd name="connsiteX52" fmla="*/ 119447 w 555716"/>
            <a:gd name="connsiteY52" fmla="*/ 347005 h 824788"/>
            <a:gd name="connsiteX53" fmla="*/ 107504 w 555716"/>
            <a:gd name="connsiteY53" fmla="*/ 386816 h 824788"/>
            <a:gd name="connsiteX54" fmla="*/ 95560 w 555716"/>
            <a:gd name="connsiteY54" fmla="*/ 418666 h 824788"/>
            <a:gd name="connsiteX55" fmla="*/ 83617 w 555716"/>
            <a:gd name="connsiteY55" fmla="*/ 482365 h 824788"/>
            <a:gd name="connsiteX56" fmla="*/ 75654 w 555716"/>
            <a:gd name="connsiteY56" fmla="*/ 506252 h 824788"/>
            <a:gd name="connsiteX57" fmla="*/ 67692 w 555716"/>
            <a:gd name="connsiteY57" fmla="*/ 550045 h 824788"/>
            <a:gd name="connsiteX58" fmla="*/ 63711 w 555716"/>
            <a:gd name="connsiteY58" fmla="*/ 573932 h 824788"/>
            <a:gd name="connsiteX59" fmla="*/ 55748 w 555716"/>
            <a:gd name="connsiteY59" fmla="*/ 601801 h 824788"/>
            <a:gd name="connsiteX60" fmla="*/ 47786 w 555716"/>
            <a:gd name="connsiteY60" fmla="*/ 637631 h 824788"/>
            <a:gd name="connsiteX61" fmla="*/ 39824 w 555716"/>
            <a:gd name="connsiteY61" fmla="*/ 665500 h 824788"/>
            <a:gd name="connsiteX62" fmla="*/ 35842 w 555716"/>
            <a:gd name="connsiteY62" fmla="*/ 685406 h 824788"/>
            <a:gd name="connsiteX63" fmla="*/ 27880 w 555716"/>
            <a:gd name="connsiteY63" fmla="*/ 713274 h 824788"/>
            <a:gd name="connsiteX64" fmla="*/ 19918 w 555716"/>
            <a:gd name="connsiteY64" fmla="*/ 665500 h 824788"/>
            <a:gd name="connsiteX65" fmla="*/ 15936 w 555716"/>
            <a:gd name="connsiteY65" fmla="*/ 649575 h 824788"/>
            <a:gd name="connsiteX66" fmla="*/ 11955 w 555716"/>
            <a:gd name="connsiteY66" fmla="*/ 621707 h 824788"/>
            <a:gd name="connsiteX67" fmla="*/ 3993 w 555716"/>
            <a:gd name="connsiteY67" fmla="*/ 581895 h 824788"/>
            <a:gd name="connsiteX68" fmla="*/ 12 w 555716"/>
            <a:gd name="connsiteY68" fmla="*/ 530139 h 824788"/>
            <a:gd name="connsiteX69" fmla="*/ 7974 w 555716"/>
            <a:gd name="connsiteY69" fmla="*/ 275343 h 824788"/>
            <a:gd name="connsiteX70" fmla="*/ 19918 w 555716"/>
            <a:gd name="connsiteY70" fmla="*/ 239512 h 824788"/>
            <a:gd name="connsiteX71" fmla="*/ 35842 w 555716"/>
            <a:gd name="connsiteY71" fmla="*/ 191738 h 824788"/>
            <a:gd name="connsiteX72" fmla="*/ 55748 w 555716"/>
            <a:gd name="connsiteY72" fmla="*/ 167851 h 824788"/>
            <a:gd name="connsiteX73" fmla="*/ 71673 w 555716"/>
            <a:gd name="connsiteY73" fmla="*/ 143964 h 824788"/>
            <a:gd name="connsiteX74" fmla="*/ 99541 w 555716"/>
            <a:gd name="connsiteY74" fmla="*/ 120077 h 824788"/>
            <a:gd name="connsiteX75" fmla="*/ 111485 w 555716"/>
            <a:gd name="connsiteY75" fmla="*/ 108133 h 824788"/>
            <a:gd name="connsiteX76" fmla="*/ 123429 w 555716"/>
            <a:gd name="connsiteY76" fmla="*/ 100171 h 824788"/>
            <a:gd name="connsiteX77" fmla="*/ 135372 w 555716"/>
            <a:gd name="connsiteY77" fmla="*/ 88227 h 824788"/>
            <a:gd name="connsiteX78" fmla="*/ 183146 w 555716"/>
            <a:gd name="connsiteY78" fmla="*/ 68321 h 824788"/>
            <a:gd name="connsiteX79" fmla="*/ 218977 w 555716"/>
            <a:gd name="connsiteY79" fmla="*/ 76284 h 824788"/>
            <a:gd name="connsiteX80" fmla="*/ 207034 w 555716"/>
            <a:gd name="connsiteY80" fmla="*/ 128039 h 824788"/>
            <a:gd name="connsiteX81" fmla="*/ 191109 w 555716"/>
            <a:gd name="connsiteY81" fmla="*/ 187757 h 824788"/>
            <a:gd name="connsiteX82" fmla="*/ 183146 w 555716"/>
            <a:gd name="connsiteY82" fmla="*/ 219606 h 824788"/>
            <a:gd name="connsiteX83" fmla="*/ 171203 w 555716"/>
            <a:gd name="connsiteY83" fmla="*/ 247475 h 824788"/>
            <a:gd name="connsiteX84" fmla="*/ 135372 w 555716"/>
            <a:gd name="connsiteY84" fmla="*/ 303211 h 824788"/>
            <a:gd name="connsiteX85" fmla="*/ 111485 w 555716"/>
            <a:gd name="connsiteY85" fmla="*/ 275343 h 824788"/>
            <a:gd name="connsiteX86" fmla="*/ 91579 w 555716"/>
            <a:gd name="connsiteY86" fmla="*/ 203682 h 824788"/>
            <a:gd name="connsiteX87" fmla="*/ 107504 w 555716"/>
            <a:gd name="connsiteY87" fmla="*/ 187757 h 824788"/>
            <a:gd name="connsiteX88" fmla="*/ 147316 w 555716"/>
            <a:gd name="connsiteY88" fmla="*/ 155907 h 824788"/>
            <a:gd name="connsiteX89" fmla="*/ 171203 w 555716"/>
            <a:gd name="connsiteY89" fmla="*/ 136001 h 824788"/>
            <a:gd name="connsiteX90" fmla="*/ 179165 w 555716"/>
            <a:gd name="connsiteY90" fmla="*/ 143964 h 824788"/>
            <a:gd name="connsiteX91" fmla="*/ 183146 w 555716"/>
            <a:gd name="connsiteY91" fmla="*/ 155907 h 824788"/>
            <a:gd name="connsiteX92" fmla="*/ 191109 w 555716"/>
            <a:gd name="connsiteY92" fmla="*/ 167851 h 824788"/>
            <a:gd name="connsiteX93" fmla="*/ 191109 w 555716"/>
            <a:gd name="connsiteY93" fmla="*/ 231550 h 824788"/>
            <a:gd name="connsiteX94" fmla="*/ 175184 w 555716"/>
            <a:gd name="connsiteY94" fmla="*/ 235531 h 824788"/>
            <a:gd name="connsiteX95" fmla="*/ 163240 w 555716"/>
            <a:gd name="connsiteY95" fmla="*/ 231550 h 824788"/>
            <a:gd name="connsiteX96" fmla="*/ 135372 w 555716"/>
            <a:gd name="connsiteY96" fmla="*/ 191738 h 824788"/>
            <a:gd name="connsiteX97" fmla="*/ 131391 w 555716"/>
            <a:gd name="connsiteY97" fmla="*/ 175813 h 824788"/>
            <a:gd name="connsiteX98" fmla="*/ 127410 w 555716"/>
            <a:gd name="connsiteY98" fmla="*/ 163870 h 824788"/>
            <a:gd name="connsiteX99" fmla="*/ 139353 w 555716"/>
            <a:gd name="connsiteY99" fmla="*/ 159889 h 824788"/>
            <a:gd name="connsiteX100" fmla="*/ 151297 w 555716"/>
            <a:gd name="connsiteY100" fmla="*/ 163870 h 824788"/>
            <a:gd name="connsiteX101" fmla="*/ 147316 w 555716"/>
            <a:gd name="connsiteY101" fmla="*/ 199700 h 824788"/>
            <a:gd name="connsiteX102" fmla="*/ 143335 w 555716"/>
            <a:gd name="connsiteY102" fmla="*/ 191738 h 82478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Lst>
          <a:rect l="l" t="t" r="r" b="b"/>
          <a:pathLst>
            <a:path w="555716" h="824788">
              <a:moveTo>
                <a:pt x="501642" y="32490"/>
              </a:moveTo>
              <a:cubicBezTo>
                <a:pt x="493680" y="35144"/>
                <a:pt x="485852" y="38245"/>
                <a:pt x="477755" y="40453"/>
              </a:cubicBezTo>
              <a:cubicBezTo>
                <a:pt x="457559" y="45961"/>
                <a:pt x="457037" y="41788"/>
                <a:pt x="437943" y="52396"/>
              </a:cubicBezTo>
              <a:cubicBezTo>
                <a:pt x="432143" y="55618"/>
                <a:pt x="427418" y="60483"/>
                <a:pt x="422018" y="64340"/>
              </a:cubicBezTo>
              <a:cubicBezTo>
                <a:pt x="418124" y="67121"/>
                <a:pt x="413750" y="69239"/>
                <a:pt x="410074" y="72302"/>
              </a:cubicBezTo>
              <a:cubicBezTo>
                <a:pt x="405749" y="75906"/>
                <a:pt x="402575" y="80789"/>
                <a:pt x="398131" y="84246"/>
              </a:cubicBezTo>
              <a:cubicBezTo>
                <a:pt x="390577" y="90121"/>
                <a:pt x="381011" y="93405"/>
                <a:pt x="374244" y="100171"/>
              </a:cubicBezTo>
              <a:cubicBezTo>
                <a:pt x="371590" y="102825"/>
                <a:pt x="369284" y="105881"/>
                <a:pt x="366281" y="108133"/>
              </a:cubicBezTo>
              <a:cubicBezTo>
                <a:pt x="358625" y="113875"/>
                <a:pt x="349161" y="117291"/>
                <a:pt x="342394" y="124058"/>
              </a:cubicBezTo>
              <a:cubicBezTo>
                <a:pt x="327796" y="138656"/>
                <a:pt x="311817" y="151992"/>
                <a:pt x="298601" y="167851"/>
              </a:cubicBezTo>
              <a:cubicBezTo>
                <a:pt x="291966" y="175813"/>
                <a:pt x="285667" y="184069"/>
                <a:pt x="278695" y="191738"/>
              </a:cubicBezTo>
              <a:cubicBezTo>
                <a:pt x="272383" y="198681"/>
                <a:pt x="264896" y="204519"/>
                <a:pt x="258789" y="211644"/>
              </a:cubicBezTo>
              <a:cubicBezTo>
                <a:pt x="248942" y="223132"/>
                <a:pt x="239315" y="234886"/>
                <a:pt x="230921" y="247475"/>
              </a:cubicBezTo>
              <a:cubicBezTo>
                <a:pt x="228267" y="251456"/>
                <a:pt x="226021" y="255742"/>
                <a:pt x="222958" y="259418"/>
              </a:cubicBezTo>
              <a:cubicBezTo>
                <a:pt x="219354" y="263743"/>
                <a:pt x="214580" y="267004"/>
                <a:pt x="211015" y="271362"/>
              </a:cubicBezTo>
              <a:cubicBezTo>
                <a:pt x="164560" y="328141"/>
                <a:pt x="204408" y="280904"/>
                <a:pt x="175184" y="323117"/>
              </a:cubicBezTo>
              <a:cubicBezTo>
                <a:pt x="167630" y="334028"/>
                <a:pt x="157232" y="343097"/>
                <a:pt x="151297" y="354967"/>
              </a:cubicBezTo>
              <a:cubicBezTo>
                <a:pt x="144662" y="368238"/>
                <a:pt x="139621" y="382434"/>
                <a:pt x="131391" y="394779"/>
              </a:cubicBezTo>
              <a:lnTo>
                <a:pt x="115466" y="418666"/>
              </a:lnTo>
              <a:cubicBezTo>
                <a:pt x="103625" y="466033"/>
                <a:pt x="122326" y="387130"/>
                <a:pt x="107504" y="498290"/>
              </a:cubicBezTo>
              <a:cubicBezTo>
                <a:pt x="104993" y="517124"/>
                <a:pt x="99286" y="535395"/>
                <a:pt x="95560" y="554026"/>
              </a:cubicBezTo>
              <a:cubicBezTo>
                <a:pt x="69685" y="683399"/>
                <a:pt x="102003" y="523338"/>
                <a:pt x="83617" y="633650"/>
              </a:cubicBezTo>
              <a:cubicBezTo>
                <a:pt x="81605" y="645719"/>
                <a:pt x="78054" y="657484"/>
                <a:pt x="75654" y="669481"/>
              </a:cubicBezTo>
              <a:cubicBezTo>
                <a:pt x="74071" y="677396"/>
                <a:pt x="73161" y="685434"/>
                <a:pt x="71673" y="693368"/>
              </a:cubicBezTo>
              <a:cubicBezTo>
                <a:pt x="69179" y="706670"/>
                <a:pt x="63711" y="733180"/>
                <a:pt x="63711" y="733180"/>
              </a:cubicBezTo>
              <a:cubicBezTo>
                <a:pt x="65038" y="742469"/>
                <a:pt x="67692" y="751664"/>
                <a:pt x="67692" y="761048"/>
              </a:cubicBezTo>
              <a:cubicBezTo>
                <a:pt x="67692" y="780998"/>
                <a:pt x="63711" y="840716"/>
                <a:pt x="63711" y="820766"/>
              </a:cubicBezTo>
              <a:cubicBezTo>
                <a:pt x="63711" y="786785"/>
                <a:pt x="67377" y="728056"/>
                <a:pt x="71673" y="689387"/>
              </a:cubicBezTo>
              <a:cubicBezTo>
                <a:pt x="74036" y="668120"/>
                <a:pt x="75569" y="646696"/>
                <a:pt x="79635" y="625688"/>
              </a:cubicBezTo>
              <a:cubicBezTo>
                <a:pt x="92856" y="557381"/>
                <a:pt x="112565" y="445619"/>
                <a:pt x="143335" y="370892"/>
              </a:cubicBezTo>
              <a:cubicBezTo>
                <a:pt x="159250" y="332241"/>
                <a:pt x="191219" y="277282"/>
                <a:pt x="214996" y="243494"/>
              </a:cubicBezTo>
              <a:cubicBezTo>
                <a:pt x="240927" y="206645"/>
                <a:pt x="287798" y="158549"/>
                <a:pt x="322488" y="136001"/>
              </a:cubicBezTo>
              <a:cubicBezTo>
                <a:pt x="349029" y="118749"/>
                <a:pt x="373016" y="96716"/>
                <a:pt x="402112" y="84246"/>
              </a:cubicBezTo>
              <a:cubicBezTo>
                <a:pt x="411401" y="80265"/>
                <a:pt x="421037" y="77009"/>
                <a:pt x="429980" y="72302"/>
              </a:cubicBezTo>
              <a:cubicBezTo>
                <a:pt x="446295" y="63715"/>
                <a:pt x="461800" y="53671"/>
                <a:pt x="477755" y="44434"/>
              </a:cubicBezTo>
              <a:cubicBezTo>
                <a:pt x="487014" y="39073"/>
                <a:pt x="497064" y="34928"/>
                <a:pt x="505623" y="28509"/>
              </a:cubicBezTo>
              <a:cubicBezTo>
                <a:pt x="510931" y="24528"/>
                <a:pt x="515817" y="19909"/>
                <a:pt x="521548" y="16566"/>
              </a:cubicBezTo>
              <a:cubicBezTo>
                <a:pt x="531801" y="10585"/>
                <a:pt x="564657" y="-3112"/>
                <a:pt x="553397" y="641"/>
              </a:cubicBezTo>
              <a:cubicBezTo>
                <a:pt x="526093" y="9742"/>
                <a:pt x="559987" y="-1007"/>
                <a:pt x="521548" y="8603"/>
              </a:cubicBezTo>
              <a:cubicBezTo>
                <a:pt x="512175" y="10946"/>
                <a:pt x="503052" y="14223"/>
                <a:pt x="493679" y="16566"/>
              </a:cubicBezTo>
              <a:cubicBezTo>
                <a:pt x="481810" y="19533"/>
                <a:pt x="469493" y="20772"/>
                <a:pt x="457849" y="24528"/>
              </a:cubicBezTo>
              <a:cubicBezTo>
                <a:pt x="424200" y="35383"/>
                <a:pt x="362925" y="57188"/>
                <a:pt x="326469" y="76284"/>
              </a:cubicBezTo>
              <a:cubicBezTo>
                <a:pt x="312760" y="83465"/>
                <a:pt x="300186" y="92655"/>
                <a:pt x="286657" y="100171"/>
              </a:cubicBezTo>
              <a:cubicBezTo>
                <a:pt x="276281" y="105935"/>
                <a:pt x="265113" y="110206"/>
                <a:pt x="254808" y="116095"/>
              </a:cubicBezTo>
              <a:cubicBezTo>
                <a:pt x="246499" y="120843"/>
                <a:pt x="238660" y="126391"/>
                <a:pt x="230921" y="132020"/>
              </a:cubicBezTo>
              <a:cubicBezTo>
                <a:pt x="218196" y="141275"/>
                <a:pt x="205501" y="151972"/>
                <a:pt x="195090" y="163870"/>
              </a:cubicBezTo>
              <a:cubicBezTo>
                <a:pt x="190721" y="168863"/>
                <a:pt x="186951" y="174358"/>
                <a:pt x="183146" y="179794"/>
              </a:cubicBezTo>
              <a:cubicBezTo>
                <a:pt x="177658" y="187634"/>
                <a:pt x="167222" y="203682"/>
                <a:pt x="167222" y="203682"/>
              </a:cubicBezTo>
              <a:cubicBezTo>
                <a:pt x="165895" y="208990"/>
                <a:pt x="164743" y="214345"/>
                <a:pt x="163240" y="219606"/>
              </a:cubicBezTo>
              <a:cubicBezTo>
                <a:pt x="160688" y="228536"/>
                <a:pt x="154535" y="244332"/>
                <a:pt x="151297" y="251456"/>
              </a:cubicBezTo>
              <a:cubicBezTo>
                <a:pt x="147613" y="259560"/>
                <a:pt x="143334" y="267381"/>
                <a:pt x="139353" y="275343"/>
              </a:cubicBezTo>
              <a:cubicBezTo>
                <a:pt x="136699" y="287287"/>
                <a:pt x="134666" y="299385"/>
                <a:pt x="131391" y="311174"/>
              </a:cubicBezTo>
              <a:cubicBezTo>
                <a:pt x="128021" y="323304"/>
                <a:pt x="123238" y="335000"/>
                <a:pt x="119447" y="347005"/>
              </a:cubicBezTo>
              <a:cubicBezTo>
                <a:pt x="115275" y="360217"/>
                <a:pt x="111885" y="373672"/>
                <a:pt x="107504" y="386816"/>
              </a:cubicBezTo>
              <a:cubicBezTo>
                <a:pt x="103918" y="397573"/>
                <a:pt x="98759" y="407788"/>
                <a:pt x="95560" y="418666"/>
              </a:cubicBezTo>
              <a:cubicBezTo>
                <a:pt x="76066" y="484948"/>
                <a:pt x="96612" y="426056"/>
                <a:pt x="83617" y="482365"/>
              </a:cubicBezTo>
              <a:cubicBezTo>
                <a:pt x="81730" y="490543"/>
                <a:pt x="78308" y="498290"/>
                <a:pt x="75654" y="506252"/>
              </a:cubicBezTo>
              <a:cubicBezTo>
                <a:pt x="63923" y="576640"/>
                <a:pt x="78820" y="488838"/>
                <a:pt x="67692" y="550045"/>
              </a:cubicBezTo>
              <a:cubicBezTo>
                <a:pt x="66248" y="557987"/>
                <a:pt x="65526" y="566067"/>
                <a:pt x="63711" y="573932"/>
              </a:cubicBezTo>
              <a:cubicBezTo>
                <a:pt x="61538" y="583346"/>
                <a:pt x="58091" y="592428"/>
                <a:pt x="55748" y="601801"/>
              </a:cubicBezTo>
              <a:cubicBezTo>
                <a:pt x="52781" y="613670"/>
                <a:pt x="50753" y="625762"/>
                <a:pt x="47786" y="637631"/>
              </a:cubicBezTo>
              <a:cubicBezTo>
                <a:pt x="45443" y="647004"/>
                <a:pt x="42167" y="656127"/>
                <a:pt x="39824" y="665500"/>
              </a:cubicBezTo>
              <a:cubicBezTo>
                <a:pt x="38183" y="672065"/>
                <a:pt x="37310" y="678800"/>
                <a:pt x="35842" y="685406"/>
              </a:cubicBezTo>
              <a:cubicBezTo>
                <a:pt x="32508" y="700408"/>
                <a:pt x="32315" y="699970"/>
                <a:pt x="27880" y="713274"/>
              </a:cubicBezTo>
              <a:cubicBezTo>
                <a:pt x="18919" y="677429"/>
                <a:pt x="29241" y="721432"/>
                <a:pt x="19918" y="665500"/>
              </a:cubicBezTo>
              <a:cubicBezTo>
                <a:pt x="19018" y="660103"/>
                <a:pt x="16915" y="654958"/>
                <a:pt x="15936" y="649575"/>
              </a:cubicBezTo>
              <a:cubicBezTo>
                <a:pt x="14257" y="640343"/>
                <a:pt x="13586" y="630948"/>
                <a:pt x="11955" y="621707"/>
              </a:cubicBezTo>
              <a:cubicBezTo>
                <a:pt x="9603" y="608379"/>
                <a:pt x="6647" y="595166"/>
                <a:pt x="3993" y="581895"/>
              </a:cubicBezTo>
              <a:cubicBezTo>
                <a:pt x="2666" y="564643"/>
                <a:pt x="-213" y="547441"/>
                <a:pt x="12" y="530139"/>
              </a:cubicBezTo>
              <a:cubicBezTo>
                <a:pt x="1115" y="445173"/>
                <a:pt x="2167" y="360118"/>
                <a:pt x="7974" y="275343"/>
              </a:cubicBezTo>
              <a:cubicBezTo>
                <a:pt x="8834" y="262783"/>
                <a:pt x="16163" y="251529"/>
                <a:pt x="19918" y="239512"/>
              </a:cubicBezTo>
              <a:cubicBezTo>
                <a:pt x="25818" y="220631"/>
                <a:pt x="27270" y="208883"/>
                <a:pt x="35842" y="191738"/>
              </a:cubicBezTo>
              <a:cubicBezTo>
                <a:pt x="44377" y="174668"/>
                <a:pt x="43423" y="183698"/>
                <a:pt x="55748" y="167851"/>
              </a:cubicBezTo>
              <a:cubicBezTo>
                <a:pt x="61623" y="160297"/>
                <a:pt x="64906" y="150731"/>
                <a:pt x="71673" y="143964"/>
              </a:cubicBezTo>
              <a:cubicBezTo>
                <a:pt x="119523" y="96114"/>
                <a:pt x="63161" y="150394"/>
                <a:pt x="99541" y="120077"/>
              </a:cubicBezTo>
              <a:cubicBezTo>
                <a:pt x="103866" y="116472"/>
                <a:pt x="107160" y="111737"/>
                <a:pt x="111485" y="108133"/>
              </a:cubicBezTo>
              <a:cubicBezTo>
                <a:pt x="115161" y="105070"/>
                <a:pt x="119753" y="103234"/>
                <a:pt x="123429" y="100171"/>
              </a:cubicBezTo>
              <a:cubicBezTo>
                <a:pt x="127754" y="96567"/>
                <a:pt x="130622" y="91250"/>
                <a:pt x="135372" y="88227"/>
              </a:cubicBezTo>
              <a:cubicBezTo>
                <a:pt x="159146" y="73097"/>
                <a:pt x="161685" y="73686"/>
                <a:pt x="183146" y="68321"/>
              </a:cubicBezTo>
              <a:cubicBezTo>
                <a:pt x="195090" y="70975"/>
                <a:pt x="211334" y="66730"/>
                <a:pt x="218977" y="76284"/>
              </a:cubicBezTo>
              <a:cubicBezTo>
                <a:pt x="226116" y="85207"/>
                <a:pt x="210950" y="118249"/>
                <a:pt x="207034" y="128039"/>
              </a:cubicBezTo>
              <a:cubicBezTo>
                <a:pt x="199678" y="179519"/>
                <a:pt x="208485" y="132153"/>
                <a:pt x="191109" y="187757"/>
              </a:cubicBezTo>
              <a:cubicBezTo>
                <a:pt x="187845" y="198202"/>
                <a:pt x="186607" y="209224"/>
                <a:pt x="183146" y="219606"/>
              </a:cubicBezTo>
              <a:cubicBezTo>
                <a:pt x="179950" y="229194"/>
                <a:pt x="175910" y="238531"/>
                <a:pt x="171203" y="247475"/>
              </a:cubicBezTo>
              <a:cubicBezTo>
                <a:pt x="147585" y="292351"/>
                <a:pt x="155122" y="283464"/>
                <a:pt x="135372" y="303211"/>
              </a:cubicBezTo>
              <a:cubicBezTo>
                <a:pt x="125574" y="293413"/>
                <a:pt x="117549" y="287472"/>
                <a:pt x="111485" y="275343"/>
              </a:cubicBezTo>
              <a:cubicBezTo>
                <a:pt x="100326" y="253023"/>
                <a:pt x="96425" y="227915"/>
                <a:pt x="91579" y="203682"/>
              </a:cubicBezTo>
              <a:cubicBezTo>
                <a:pt x="96887" y="198374"/>
                <a:pt x="101804" y="192643"/>
                <a:pt x="107504" y="187757"/>
              </a:cubicBezTo>
              <a:cubicBezTo>
                <a:pt x="120407" y="176697"/>
                <a:pt x="135299" y="167924"/>
                <a:pt x="147316" y="155907"/>
              </a:cubicBezTo>
              <a:cubicBezTo>
                <a:pt x="162643" y="140580"/>
                <a:pt x="154575" y="147087"/>
                <a:pt x="171203" y="136001"/>
              </a:cubicBezTo>
              <a:cubicBezTo>
                <a:pt x="173857" y="138655"/>
                <a:pt x="177234" y="140745"/>
                <a:pt x="179165" y="143964"/>
              </a:cubicBezTo>
              <a:cubicBezTo>
                <a:pt x="181324" y="147562"/>
                <a:pt x="181269" y="152154"/>
                <a:pt x="183146" y="155907"/>
              </a:cubicBezTo>
              <a:cubicBezTo>
                <a:pt x="185286" y="160187"/>
                <a:pt x="188455" y="163870"/>
                <a:pt x="191109" y="167851"/>
              </a:cubicBezTo>
              <a:cubicBezTo>
                <a:pt x="198726" y="190703"/>
                <a:pt x="202979" y="198313"/>
                <a:pt x="191109" y="231550"/>
              </a:cubicBezTo>
              <a:cubicBezTo>
                <a:pt x="189269" y="236703"/>
                <a:pt x="180492" y="234204"/>
                <a:pt x="175184" y="235531"/>
              </a:cubicBezTo>
              <a:cubicBezTo>
                <a:pt x="171203" y="234204"/>
                <a:pt x="166426" y="234281"/>
                <a:pt x="163240" y="231550"/>
              </a:cubicBezTo>
              <a:cubicBezTo>
                <a:pt x="152558" y="222394"/>
                <a:pt x="142512" y="203638"/>
                <a:pt x="135372" y="191738"/>
              </a:cubicBezTo>
              <a:cubicBezTo>
                <a:pt x="134045" y="186430"/>
                <a:pt x="132894" y="181074"/>
                <a:pt x="131391" y="175813"/>
              </a:cubicBezTo>
              <a:cubicBezTo>
                <a:pt x="130238" y="171778"/>
                <a:pt x="125533" y="167623"/>
                <a:pt x="127410" y="163870"/>
              </a:cubicBezTo>
              <a:cubicBezTo>
                <a:pt x="129287" y="160117"/>
                <a:pt x="135372" y="161216"/>
                <a:pt x="139353" y="159889"/>
              </a:cubicBezTo>
              <a:cubicBezTo>
                <a:pt x="143334" y="161216"/>
                <a:pt x="150474" y="159755"/>
                <a:pt x="151297" y="163870"/>
              </a:cubicBezTo>
              <a:cubicBezTo>
                <a:pt x="153654" y="175653"/>
                <a:pt x="150617" y="188146"/>
                <a:pt x="147316" y="199700"/>
              </a:cubicBezTo>
              <a:cubicBezTo>
                <a:pt x="146501" y="202553"/>
                <a:pt x="144662" y="194392"/>
                <a:pt x="143335" y="191738"/>
              </a:cubicBezTo>
            </a:path>
          </a:pathLst>
        </a:custGeom>
      </xdr:spPr>
      <xdr:style>
        <a:lnRef idx="3">
          <a:schemeClr val="accent4"/>
        </a:lnRef>
        <a:fillRef idx="0">
          <a:schemeClr val="accent4"/>
        </a:fillRef>
        <a:effectRef idx="2">
          <a:schemeClr val="accent4"/>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493668</xdr:colOff>
      <xdr:row>229</xdr:row>
      <xdr:rowOff>151131</xdr:rowOff>
    </xdr:from>
    <xdr:to>
      <xdr:col>1</xdr:col>
      <xdr:colOff>92603</xdr:colOff>
      <xdr:row>232</xdr:row>
      <xdr:rowOff>111474</xdr:rowOff>
    </xdr:to>
    <xdr:sp macro="" textlink="">
      <xdr:nvSpPr>
        <xdr:cNvPr id="102" name="Freeform 101">
          <a:extLst>
            <a:ext uri="{FF2B5EF4-FFF2-40B4-BE49-F238E27FC236}">
              <a16:creationId xmlns:a16="http://schemas.microsoft.com/office/drawing/2014/main" id="{D72C30B0-A8E2-2873-D251-C1629997400B}"/>
            </a:ext>
          </a:extLst>
        </xdr:cNvPr>
        <xdr:cNvSpPr/>
      </xdr:nvSpPr>
      <xdr:spPr>
        <a:xfrm>
          <a:off x="13501245547" y="47165018"/>
          <a:ext cx="423042" cy="569465"/>
        </a:xfrm>
        <a:custGeom>
          <a:avLst/>
          <a:gdLst>
            <a:gd name="connsiteX0" fmla="*/ 52792 w 423042"/>
            <a:gd name="connsiteY0" fmla="*/ 35985 h 569465"/>
            <a:gd name="connsiteX1" fmla="*/ 132415 w 423042"/>
            <a:gd name="connsiteY1" fmla="*/ 55891 h 569465"/>
            <a:gd name="connsiteX2" fmla="*/ 200096 w 423042"/>
            <a:gd name="connsiteY2" fmla="*/ 107647 h 569465"/>
            <a:gd name="connsiteX3" fmla="*/ 243889 w 423042"/>
            <a:gd name="connsiteY3" fmla="*/ 143477 h 569465"/>
            <a:gd name="connsiteX4" fmla="*/ 263795 w 423042"/>
            <a:gd name="connsiteY4" fmla="*/ 159402 h 569465"/>
            <a:gd name="connsiteX5" fmla="*/ 279719 w 423042"/>
            <a:gd name="connsiteY5" fmla="*/ 179308 h 569465"/>
            <a:gd name="connsiteX6" fmla="*/ 295644 w 423042"/>
            <a:gd name="connsiteY6" fmla="*/ 191252 h 569465"/>
            <a:gd name="connsiteX7" fmla="*/ 331475 w 423042"/>
            <a:gd name="connsiteY7" fmla="*/ 235045 h 569465"/>
            <a:gd name="connsiteX8" fmla="*/ 343419 w 423042"/>
            <a:gd name="connsiteY8" fmla="*/ 258932 h 569465"/>
            <a:gd name="connsiteX9" fmla="*/ 343419 w 423042"/>
            <a:gd name="connsiteY9" fmla="*/ 330593 h 569465"/>
            <a:gd name="connsiteX10" fmla="*/ 347400 w 423042"/>
            <a:gd name="connsiteY10" fmla="*/ 342537 h 569465"/>
            <a:gd name="connsiteX11" fmla="*/ 351381 w 423042"/>
            <a:gd name="connsiteY11" fmla="*/ 362443 h 569465"/>
            <a:gd name="connsiteX12" fmla="*/ 355362 w 423042"/>
            <a:gd name="connsiteY12" fmla="*/ 390311 h 569465"/>
            <a:gd name="connsiteX13" fmla="*/ 363324 w 423042"/>
            <a:gd name="connsiteY13" fmla="*/ 406236 h 569465"/>
            <a:gd name="connsiteX14" fmla="*/ 367306 w 423042"/>
            <a:gd name="connsiteY14" fmla="*/ 422161 h 569465"/>
            <a:gd name="connsiteX15" fmla="*/ 375268 w 423042"/>
            <a:gd name="connsiteY15" fmla="*/ 446048 h 569465"/>
            <a:gd name="connsiteX16" fmla="*/ 391193 w 423042"/>
            <a:gd name="connsiteY16" fmla="*/ 541596 h 569465"/>
            <a:gd name="connsiteX17" fmla="*/ 395174 w 423042"/>
            <a:gd name="connsiteY17" fmla="*/ 557521 h 569465"/>
            <a:gd name="connsiteX18" fmla="*/ 403136 w 423042"/>
            <a:gd name="connsiteY18" fmla="*/ 541596 h 569465"/>
            <a:gd name="connsiteX19" fmla="*/ 411099 w 423042"/>
            <a:gd name="connsiteY19" fmla="*/ 529653 h 569465"/>
            <a:gd name="connsiteX20" fmla="*/ 415080 w 423042"/>
            <a:gd name="connsiteY20" fmla="*/ 517709 h 569465"/>
            <a:gd name="connsiteX21" fmla="*/ 423042 w 423042"/>
            <a:gd name="connsiteY21" fmla="*/ 497803 h 569465"/>
            <a:gd name="connsiteX22" fmla="*/ 419061 w 423042"/>
            <a:gd name="connsiteY22" fmla="*/ 450029 h 569465"/>
            <a:gd name="connsiteX23" fmla="*/ 411099 w 423042"/>
            <a:gd name="connsiteY23" fmla="*/ 434104 h 569465"/>
            <a:gd name="connsiteX24" fmla="*/ 395174 w 423042"/>
            <a:gd name="connsiteY24" fmla="*/ 414198 h 569465"/>
            <a:gd name="connsiteX25" fmla="*/ 387212 w 423042"/>
            <a:gd name="connsiteY25" fmla="*/ 394292 h 569465"/>
            <a:gd name="connsiteX26" fmla="*/ 379249 w 423042"/>
            <a:gd name="connsiteY26" fmla="*/ 342537 h 569465"/>
            <a:gd name="connsiteX27" fmla="*/ 375268 w 423042"/>
            <a:gd name="connsiteY27" fmla="*/ 330593 h 569465"/>
            <a:gd name="connsiteX28" fmla="*/ 367306 w 423042"/>
            <a:gd name="connsiteY28" fmla="*/ 318650 h 569465"/>
            <a:gd name="connsiteX29" fmla="*/ 363324 w 423042"/>
            <a:gd name="connsiteY29" fmla="*/ 306706 h 569465"/>
            <a:gd name="connsiteX30" fmla="*/ 339437 w 423042"/>
            <a:gd name="connsiteY30" fmla="*/ 262913 h 569465"/>
            <a:gd name="connsiteX31" fmla="*/ 327494 w 423042"/>
            <a:gd name="connsiteY31" fmla="*/ 239026 h 569465"/>
            <a:gd name="connsiteX32" fmla="*/ 319531 w 423042"/>
            <a:gd name="connsiteY32" fmla="*/ 219120 h 569465"/>
            <a:gd name="connsiteX33" fmla="*/ 307588 w 423042"/>
            <a:gd name="connsiteY33" fmla="*/ 207176 h 569465"/>
            <a:gd name="connsiteX34" fmla="*/ 283701 w 423042"/>
            <a:gd name="connsiteY34" fmla="*/ 191252 h 569465"/>
            <a:gd name="connsiteX35" fmla="*/ 247870 w 423042"/>
            <a:gd name="connsiteY35" fmla="*/ 175327 h 569465"/>
            <a:gd name="connsiteX36" fmla="*/ 231945 w 423042"/>
            <a:gd name="connsiteY36" fmla="*/ 163383 h 569465"/>
            <a:gd name="connsiteX37" fmla="*/ 204077 w 423042"/>
            <a:gd name="connsiteY37" fmla="*/ 151440 h 569465"/>
            <a:gd name="connsiteX38" fmla="*/ 192133 w 423042"/>
            <a:gd name="connsiteY38" fmla="*/ 143477 h 569465"/>
            <a:gd name="connsiteX39" fmla="*/ 156303 w 423042"/>
            <a:gd name="connsiteY39" fmla="*/ 135515 h 569465"/>
            <a:gd name="connsiteX40" fmla="*/ 140378 w 423042"/>
            <a:gd name="connsiteY40" fmla="*/ 131534 h 569465"/>
            <a:gd name="connsiteX41" fmla="*/ 112509 w 423042"/>
            <a:gd name="connsiteY41" fmla="*/ 127553 h 569465"/>
            <a:gd name="connsiteX42" fmla="*/ 88622 w 423042"/>
            <a:gd name="connsiteY42" fmla="*/ 123571 h 569465"/>
            <a:gd name="connsiteX43" fmla="*/ 64735 w 423042"/>
            <a:gd name="connsiteY43" fmla="*/ 99684 h 569465"/>
            <a:gd name="connsiteX44" fmla="*/ 20942 w 423042"/>
            <a:gd name="connsiteY44" fmla="*/ 63853 h 569465"/>
            <a:gd name="connsiteX45" fmla="*/ 32886 w 423042"/>
            <a:gd name="connsiteY45" fmla="*/ 59872 h 569465"/>
            <a:gd name="connsiteX46" fmla="*/ 76679 w 423042"/>
            <a:gd name="connsiteY46" fmla="*/ 71816 h 569465"/>
            <a:gd name="connsiteX47" fmla="*/ 104547 w 423042"/>
            <a:gd name="connsiteY47" fmla="*/ 79778 h 569465"/>
            <a:gd name="connsiteX48" fmla="*/ 152321 w 423042"/>
            <a:gd name="connsiteY48" fmla="*/ 95703 h 569465"/>
            <a:gd name="connsiteX49" fmla="*/ 176208 w 423042"/>
            <a:gd name="connsiteY49" fmla="*/ 103665 h 569465"/>
            <a:gd name="connsiteX50" fmla="*/ 227964 w 423042"/>
            <a:gd name="connsiteY50" fmla="*/ 123571 h 569465"/>
            <a:gd name="connsiteX51" fmla="*/ 267776 w 423042"/>
            <a:gd name="connsiteY51" fmla="*/ 155421 h 569465"/>
            <a:gd name="connsiteX52" fmla="*/ 291663 w 423042"/>
            <a:gd name="connsiteY52" fmla="*/ 179308 h 569465"/>
            <a:gd name="connsiteX53" fmla="*/ 303607 w 423042"/>
            <a:gd name="connsiteY53" fmla="*/ 203195 h 569465"/>
            <a:gd name="connsiteX54" fmla="*/ 315550 w 423042"/>
            <a:gd name="connsiteY54" fmla="*/ 223101 h 569465"/>
            <a:gd name="connsiteX55" fmla="*/ 319531 w 423042"/>
            <a:gd name="connsiteY55" fmla="*/ 235045 h 569465"/>
            <a:gd name="connsiteX56" fmla="*/ 335456 w 423042"/>
            <a:gd name="connsiteY56" fmla="*/ 266894 h 569465"/>
            <a:gd name="connsiteX57" fmla="*/ 339437 w 423042"/>
            <a:gd name="connsiteY57" fmla="*/ 286800 h 569465"/>
            <a:gd name="connsiteX58" fmla="*/ 355362 w 423042"/>
            <a:gd name="connsiteY58" fmla="*/ 322631 h 569465"/>
            <a:gd name="connsiteX59" fmla="*/ 359343 w 423042"/>
            <a:gd name="connsiteY59" fmla="*/ 338556 h 569465"/>
            <a:gd name="connsiteX60" fmla="*/ 371287 w 423042"/>
            <a:gd name="connsiteY60" fmla="*/ 366424 h 569465"/>
            <a:gd name="connsiteX61" fmla="*/ 379249 w 423042"/>
            <a:gd name="connsiteY61" fmla="*/ 402255 h 569465"/>
            <a:gd name="connsiteX62" fmla="*/ 391193 w 423042"/>
            <a:gd name="connsiteY62" fmla="*/ 430123 h 569465"/>
            <a:gd name="connsiteX63" fmla="*/ 399155 w 423042"/>
            <a:gd name="connsiteY63" fmla="*/ 457991 h 569465"/>
            <a:gd name="connsiteX64" fmla="*/ 407118 w 423042"/>
            <a:gd name="connsiteY64" fmla="*/ 553540 h 569465"/>
            <a:gd name="connsiteX65" fmla="*/ 411099 w 423042"/>
            <a:gd name="connsiteY65" fmla="*/ 569465 h 569465"/>
            <a:gd name="connsiteX66" fmla="*/ 415080 w 423042"/>
            <a:gd name="connsiteY66" fmla="*/ 557521 h 569465"/>
            <a:gd name="connsiteX67" fmla="*/ 419061 w 423042"/>
            <a:gd name="connsiteY67" fmla="*/ 533634 h 569465"/>
            <a:gd name="connsiteX68" fmla="*/ 423042 w 423042"/>
            <a:gd name="connsiteY68" fmla="*/ 517709 h 569465"/>
            <a:gd name="connsiteX69" fmla="*/ 419061 w 423042"/>
            <a:gd name="connsiteY69" fmla="*/ 473916 h 569465"/>
            <a:gd name="connsiteX70" fmla="*/ 407118 w 423042"/>
            <a:gd name="connsiteY70" fmla="*/ 461973 h 569465"/>
            <a:gd name="connsiteX71" fmla="*/ 399155 w 423042"/>
            <a:gd name="connsiteY71" fmla="*/ 442067 h 569465"/>
            <a:gd name="connsiteX72" fmla="*/ 355362 w 423042"/>
            <a:gd name="connsiteY72" fmla="*/ 350499 h 569465"/>
            <a:gd name="connsiteX73" fmla="*/ 323513 w 423042"/>
            <a:gd name="connsiteY73" fmla="*/ 262913 h 569465"/>
            <a:gd name="connsiteX74" fmla="*/ 291663 w 423042"/>
            <a:gd name="connsiteY74" fmla="*/ 187270 h 569465"/>
            <a:gd name="connsiteX75" fmla="*/ 239908 w 423042"/>
            <a:gd name="connsiteY75" fmla="*/ 99684 h 569465"/>
            <a:gd name="connsiteX76" fmla="*/ 212039 w 423042"/>
            <a:gd name="connsiteY76" fmla="*/ 71816 h 569465"/>
            <a:gd name="connsiteX77" fmla="*/ 196114 w 423042"/>
            <a:gd name="connsiteY77" fmla="*/ 55891 h 569465"/>
            <a:gd name="connsiteX78" fmla="*/ 180190 w 423042"/>
            <a:gd name="connsiteY78" fmla="*/ 39966 h 569465"/>
            <a:gd name="connsiteX79" fmla="*/ 160284 w 423042"/>
            <a:gd name="connsiteY79" fmla="*/ 28023 h 569465"/>
            <a:gd name="connsiteX80" fmla="*/ 148340 w 423042"/>
            <a:gd name="connsiteY80" fmla="*/ 20060 h 569465"/>
            <a:gd name="connsiteX81" fmla="*/ 136397 w 423042"/>
            <a:gd name="connsiteY81" fmla="*/ 16079 h 569465"/>
            <a:gd name="connsiteX82" fmla="*/ 108528 w 423042"/>
            <a:gd name="connsiteY82" fmla="*/ 4136 h 569465"/>
            <a:gd name="connsiteX83" fmla="*/ 12980 w 423042"/>
            <a:gd name="connsiteY83" fmla="*/ 16079 h 569465"/>
            <a:gd name="connsiteX84" fmla="*/ 52792 w 423042"/>
            <a:gd name="connsiteY84" fmla="*/ 35985 h 56946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Lst>
          <a:rect l="l" t="t" r="r" b="b"/>
          <a:pathLst>
            <a:path w="423042" h="569465">
              <a:moveTo>
                <a:pt x="52792" y="35985"/>
              </a:moveTo>
              <a:cubicBezTo>
                <a:pt x="72698" y="42620"/>
                <a:pt x="114342" y="47858"/>
                <a:pt x="132415" y="55891"/>
              </a:cubicBezTo>
              <a:cubicBezTo>
                <a:pt x="179113" y="76646"/>
                <a:pt x="171012" y="82199"/>
                <a:pt x="200096" y="107647"/>
              </a:cubicBezTo>
              <a:cubicBezTo>
                <a:pt x="214290" y="120067"/>
                <a:pt x="229251" y="131583"/>
                <a:pt x="243889" y="143477"/>
              </a:cubicBezTo>
              <a:cubicBezTo>
                <a:pt x="250484" y="148835"/>
                <a:pt x="258487" y="152767"/>
                <a:pt x="263795" y="159402"/>
              </a:cubicBezTo>
              <a:cubicBezTo>
                <a:pt x="269103" y="166037"/>
                <a:pt x="273711" y="173299"/>
                <a:pt x="279719" y="179308"/>
              </a:cubicBezTo>
              <a:cubicBezTo>
                <a:pt x="284411" y="184000"/>
                <a:pt x="290685" y="186844"/>
                <a:pt x="295644" y="191252"/>
              </a:cubicBezTo>
              <a:cubicBezTo>
                <a:pt x="317467" y="210650"/>
                <a:pt x="315291" y="210769"/>
                <a:pt x="331475" y="235045"/>
              </a:cubicBezTo>
              <a:cubicBezTo>
                <a:pt x="341765" y="250479"/>
                <a:pt x="337924" y="242449"/>
                <a:pt x="343419" y="258932"/>
              </a:cubicBezTo>
              <a:cubicBezTo>
                <a:pt x="338247" y="295127"/>
                <a:pt x="337207" y="287113"/>
                <a:pt x="343419" y="330593"/>
              </a:cubicBezTo>
              <a:cubicBezTo>
                <a:pt x="344013" y="334747"/>
                <a:pt x="346382" y="338466"/>
                <a:pt x="347400" y="342537"/>
              </a:cubicBezTo>
              <a:cubicBezTo>
                <a:pt x="349041" y="349102"/>
                <a:pt x="350269" y="355768"/>
                <a:pt x="351381" y="362443"/>
              </a:cubicBezTo>
              <a:cubicBezTo>
                <a:pt x="352924" y="371699"/>
                <a:pt x="352893" y="381258"/>
                <a:pt x="355362" y="390311"/>
              </a:cubicBezTo>
              <a:cubicBezTo>
                <a:pt x="356923" y="396037"/>
                <a:pt x="361240" y="400679"/>
                <a:pt x="363324" y="406236"/>
              </a:cubicBezTo>
              <a:cubicBezTo>
                <a:pt x="365245" y="411359"/>
                <a:pt x="365734" y="416920"/>
                <a:pt x="367306" y="422161"/>
              </a:cubicBezTo>
              <a:cubicBezTo>
                <a:pt x="369718" y="430200"/>
                <a:pt x="372614" y="438086"/>
                <a:pt x="375268" y="446048"/>
              </a:cubicBezTo>
              <a:cubicBezTo>
                <a:pt x="379831" y="477991"/>
                <a:pt x="384188" y="510071"/>
                <a:pt x="391193" y="541596"/>
              </a:cubicBezTo>
              <a:cubicBezTo>
                <a:pt x="392380" y="546937"/>
                <a:pt x="393847" y="552213"/>
                <a:pt x="395174" y="557521"/>
              </a:cubicBezTo>
              <a:cubicBezTo>
                <a:pt x="397828" y="552213"/>
                <a:pt x="400191" y="546749"/>
                <a:pt x="403136" y="541596"/>
              </a:cubicBezTo>
              <a:cubicBezTo>
                <a:pt x="405510" y="537442"/>
                <a:pt x="408959" y="533933"/>
                <a:pt x="411099" y="529653"/>
              </a:cubicBezTo>
              <a:cubicBezTo>
                <a:pt x="412976" y="525899"/>
                <a:pt x="413607" y="521638"/>
                <a:pt x="415080" y="517709"/>
              </a:cubicBezTo>
              <a:cubicBezTo>
                <a:pt x="417589" y="511018"/>
                <a:pt x="420388" y="504438"/>
                <a:pt x="423042" y="497803"/>
              </a:cubicBezTo>
              <a:cubicBezTo>
                <a:pt x="421715" y="481878"/>
                <a:pt x="422006" y="465735"/>
                <a:pt x="419061" y="450029"/>
              </a:cubicBezTo>
              <a:cubicBezTo>
                <a:pt x="417967" y="444196"/>
                <a:pt x="414044" y="439257"/>
                <a:pt x="411099" y="434104"/>
              </a:cubicBezTo>
              <a:cubicBezTo>
                <a:pt x="404405" y="422389"/>
                <a:pt x="403890" y="422915"/>
                <a:pt x="395174" y="414198"/>
              </a:cubicBezTo>
              <a:cubicBezTo>
                <a:pt x="392520" y="407563"/>
                <a:pt x="388709" y="401280"/>
                <a:pt x="387212" y="394292"/>
              </a:cubicBezTo>
              <a:cubicBezTo>
                <a:pt x="372083" y="323695"/>
                <a:pt x="390945" y="383475"/>
                <a:pt x="379249" y="342537"/>
              </a:cubicBezTo>
              <a:cubicBezTo>
                <a:pt x="378096" y="338502"/>
                <a:pt x="377145" y="334347"/>
                <a:pt x="375268" y="330593"/>
              </a:cubicBezTo>
              <a:cubicBezTo>
                <a:pt x="373128" y="326314"/>
                <a:pt x="369446" y="322929"/>
                <a:pt x="367306" y="318650"/>
              </a:cubicBezTo>
              <a:cubicBezTo>
                <a:pt x="365429" y="314896"/>
                <a:pt x="364977" y="310563"/>
                <a:pt x="363324" y="306706"/>
              </a:cubicBezTo>
              <a:cubicBezTo>
                <a:pt x="357140" y="292277"/>
                <a:pt x="346476" y="275985"/>
                <a:pt x="339437" y="262913"/>
              </a:cubicBezTo>
              <a:cubicBezTo>
                <a:pt x="335217" y="255075"/>
                <a:pt x="331178" y="247130"/>
                <a:pt x="327494" y="239026"/>
              </a:cubicBezTo>
              <a:cubicBezTo>
                <a:pt x="324537" y="232520"/>
                <a:pt x="323319" y="225180"/>
                <a:pt x="319531" y="219120"/>
              </a:cubicBezTo>
              <a:cubicBezTo>
                <a:pt x="316547" y="214346"/>
                <a:pt x="312032" y="210633"/>
                <a:pt x="307588" y="207176"/>
              </a:cubicBezTo>
              <a:cubicBezTo>
                <a:pt x="300034" y="201301"/>
                <a:pt x="292586" y="194806"/>
                <a:pt x="283701" y="191252"/>
              </a:cubicBezTo>
              <a:cubicBezTo>
                <a:pt x="273220" y="187059"/>
                <a:pt x="257784" y="181523"/>
                <a:pt x="247870" y="175327"/>
              </a:cubicBezTo>
              <a:cubicBezTo>
                <a:pt x="242243" y="171810"/>
                <a:pt x="237572" y="166900"/>
                <a:pt x="231945" y="163383"/>
              </a:cubicBezTo>
              <a:cubicBezTo>
                <a:pt x="220702" y="156356"/>
                <a:pt x="215686" y="155310"/>
                <a:pt x="204077" y="151440"/>
              </a:cubicBezTo>
              <a:cubicBezTo>
                <a:pt x="200096" y="148786"/>
                <a:pt x="196531" y="145362"/>
                <a:pt x="192133" y="143477"/>
              </a:cubicBezTo>
              <a:cubicBezTo>
                <a:pt x="186907" y="141237"/>
                <a:pt x="160225" y="136387"/>
                <a:pt x="156303" y="135515"/>
              </a:cubicBezTo>
              <a:cubicBezTo>
                <a:pt x="150962" y="134328"/>
                <a:pt x="145761" y="132513"/>
                <a:pt x="140378" y="131534"/>
              </a:cubicBezTo>
              <a:cubicBezTo>
                <a:pt x="131145" y="129855"/>
                <a:pt x="121784" y="128980"/>
                <a:pt x="112509" y="127553"/>
              </a:cubicBezTo>
              <a:cubicBezTo>
                <a:pt x="104531" y="126325"/>
                <a:pt x="96584" y="124898"/>
                <a:pt x="88622" y="123571"/>
              </a:cubicBezTo>
              <a:cubicBezTo>
                <a:pt x="80660" y="115609"/>
                <a:pt x="73624" y="106597"/>
                <a:pt x="64735" y="99684"/>
              </a:cubicBezTo>
              <a:cubicBezTo>
                <a:pt x="25941" y="69512"/>
                <a:pt x="39602" y="82516"/>
                <a:pt x="20942" y="63853"/>
              </a:cubicBezTo>
              <a:cubicBezTo>
                <a:pt x="24923" y="62526"/>
                <a:pt x="28689" y="59872"/>
                <a:pt x="32886" y="59872"/>
              </a:cubicBezTo>
              <a:cubicBezTo>
                <a:pt x="54547" y="59872"/>
                <a:pt x="57490" y="65420"/>
                <a:pt x="76679" y="71816"/>
              </a:cubicBezTo>
              <a:cubicBezTo>
                <a:pt x="85844" y="74871"/>
                <a:pt x="95334" y="76869"/>
                <a:pt x="104547" y="79778"/>
              </a:cubicBezTo>
              <a:cubicBezTo>
                <a:pt x="120554" y="84833"/>
                <a:pt x="136396" y="90395"/>
                <a:pt x="152321" y="95703"/>
              </a:cubicBezTo>
              <a:cubicBezTo>
                <a:pt x="160283" y="98357"/>
                <a:pt x="168138" y="101359"/>
                <a:pt x="176208" y="103665"/>
              </a:cubicBezTo>
              <a:cubicBezTo>
                <a:pt x="196159" y="109366"/>
                <a:pt x="210618" y="111645"/>
                <a:pt x="227964" y="123571"/>
              </a:cubicBezTo>
              <a:cubicBezTo>
                <a:pt x="241968" y="133199"/>
                <a:pt x="255759" y="143404"/>
                <a:pt x="267776" y="155421"/>
              </a:cubicBezTo>
              <a:cubicBezTo>
                <a:pt x="275738" y="163383"/>
                <a:pt x="285417" y="169939"/>
                <a:pt x="291663" y="179308"/>
              </a:cubicBezTo>
              <a:cubicBezTo>
                <a:pt x="314481" y="213537"/>
                <a:pt x="287124" y="170230"/>
                <a:pt x="303607" y="203195"/>
              </a:cubicBezTo>
              <a:cubicBezTo>
                <a:pt x="307068" y="210116"/>
                <a:pt x="312090" y="216180"/>
                <a:pt x="315550" y="223101"/>
              </a:cubicBezTo>
              <a:cubicBezTo>
                <a:pt x="317427" y="226855"/>
                <a:pt x="317794" y="231225"/>
                <a:pt x="319531" y="235045"/>
              </a:cubicBezTo>
              <a:cubicBezTo>
                <a:pt x="324443" y="245851"/>
                <a:pt x="335456" y="266894"/>
                <a:pt x="335456" y="266894"/>
              </a:cubicBezTo>
              <a:cubicBezTo>
                <a:pt x="336783" y="273529"/>
                <a:pt x="337493" y="280319"/>
                <a:pt x="339437" y="286800"/>
              </a:cubicBezTo>
              <a:cubicBezTo>
                <a:pt x="350331" y="323113"/>
                <a:pt x="343600" y="291265"/>
                <a:pt x="355362" y="322631"/>
              </a:cubicBezTo>
              <a:cubicBezTo>
                <a:pt x="357283" y="327754"/>
                <a:pt x="357473" y="333414"/>
                <a:pt x="359343" y="338556"/>
              </a:cubicBezTo>
              <a:cubicBezTo>
                <a:pt x="362797" y="348054"/>
                <a:pt x="368272" y="356777"/>
                <a:pt x="371287" y="366424"/>
              </a:cubicBezTo>
              <a:cubicBezTo>
                <a:pt x="374936" y="378102"/>
                <a:pt x="375600" y="390577"/>
                <a:pt x="379249" y="402255"/>
              </a:cubicBezTo>
              <a:cubicBezTo>
                <a:pt x="382264" y="411902"/>
                <a:pt x="387439" y="420739"/>
                <a:pt x="391193" y="430123"/>
              </a:cubicBezTo>
              <a:cubicBezTo>
                <a:pt x="394999" y="439639"/>
                <a:pt x="396639" y="447929"/>
                <a:pt x="399155" y="457991"/>
              </a:cubicBezTo>
              <a:cubicBezTo>
                <a:pt x="400917" y="484424"/>
                <a:pt x="402751" y="525153"/>
                <a:pt x="407118" y="553540"/>
              </a:cubicBezTo>
              <a:cubicBezTo>
                <a:pt x="407950" y="558948"/>
                <a:pt x="409772" y="564157"/>
                <a:pt x="411099" y="569465"/>
              </a:cubicBezTo>
              <a:cubicBezTo>
                <a:pt x="412426" y="565484"/>
                <a:pt x="414170" y="561618"/>
                <a:pt x="415080" y="557521"/>
              </a:cubicBezTo>
              <a:cubicBezTo>
                <a:pt x="416831" y="549641"/>
                <a:pt x="417478" y="541549"/>
                <a:pt x="419061" y="533634"/>
              </a:cubicBezTo>
              <a:cubicBezTo>
                <a:pt x="420134" y="528269"/>
                <a:pt x="421715" y="523017"/>
                <a:pt x="423042" y="517709"/>
              </a:cubicBezTo>
              <a:cubicBezTo>
                <a:pt x="421715" y="503111"/>
                <a:pt x="423088" y="488010"/>
                <a:pt x="419061" y="473916"/>
              </a:cubicBezTo>
              <a:cubicBezTo>
                <a:pt x="417514" y="468503"/>
                <a:pt x="410102" y="466747"/>
                <a:pt x="407118" y="461973"/>
              </a:cubicBezTo>
              <a:cubicBezTo>
                <a:pt x="403330" y="455913"/>
                <a:pt x="402165" y="448549"/>
                <a:pt x="399155" y="442067"/>
              </a:cubicBezTo>
              <a:cubicBezTo>
                <a:pt x="384907" y="411379"/>
                <a:pt x="366924" y="382296"/>
                <a:pt x="355362" y="350499"/>
              </a:cubicBezTo>
              <a:cubicBezTo>
                <a:pt x="344746" y="321304"/>
                <a:pt x="334807" y="291853"/>
                <a:pt x="323513" y="262913"/>
              </a:cubicBezTo>
              <a:cubicBezTo>
                <a:pt x="313567" y="237427"/>
                <a:pt x="303631" y="211871"/>
                <a:pt x="291663" y="187270"/>
              </a:cubicBezTo>
              <a:cubicBezTo>
                <a:pt x="285042" y="173661"/>
                <a:pt x="259404" y="121966"/>
                <a:pt x="239908" y="99684"/>
              </a:cubicBezTo>
              <a:cubicBezTo>
                <a:pt x="239895" y="99669"/>
                <a:pt x="214372" y="74149"/>
                <a:pt x="212039" y="71816"/>
              </a:cubicBezTo>
              <a:lnTo>
                <a:pt x="196114" y="55891"/>
              </a:lnTo>
              <a:cubicBezTo>
                <a:pt x="190806" y="50583"/>
                <a:pt x="186627" y="43828"/>
                <a:pt x="180190" y="39966"/>
              </a:cubicBezTo>
              <a:cubicBezTo>
                <a:pt x="173555" y="35985"/>
                <a:pt x="166846" y="32124"/>
                <a:pt x="160284" y="28023"/>
              </a:cubicBezTo>
              <a:cubicBezTo>
                <a:pt x="156226" y="25487"/>
                <a:pt x="152620" y="22200"/>
                <a:pt x="148340" y="20060"/>
              </a:cubicBezTo>
              <a:cubicBezTo>
                <a:pt x="144587" y="18183"/>
                <a:pt x="140150" y="17956"/>
                <a:pt x="136397" y="16079"/>
              </a:cubicBezTo>
              <a:cubicBezTo>
                <a:pt x="108904" y="2333"/>
                <a:pt x="141669" y="12421"/>
                <a:pt x="108528" y="4136"/>
              </a:cubicBezTo>
              <a:cubicBezTo>
                <a:pt x="93396" y="4696"/>
                <a:pt x="-41762" y="-11291"/>
                <a:pt x="12980" y="16079"/>
              </a:cubicBezTo>
              <a:cubicBezTo>
                <a:pt x="31275" y="25226"/>
                <a:pt x="32886" y="29350"/>
                <a:pt x="52792" y="35985"/>
              </a:cubicBezTo>
              <a:close/>
            </a:path>
          </a:pathLst>
        </a:custGeom>
        <a:ln>
          <a:solidFill>
            <a:schemeClr val="accent2">
              <a:lumMod val="60000"/>
              <a:lumOff val="4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91567</xdr:colOff>
      <xdr:row>231</xdr:row>
      <xdr:rowOff>23887</xdr:rowOff>
    </xdr:from>
    <xdr:to>
      <xdr:col>1</xdr:col>
      <xdr:colOff>270721</xdr:colOff>
      <xdr:row>231</xdr:row>
      <xdr:rowOff>187116</xdr:rowOff>
    </xdr:to>
    <xdr:sp macro="" textlink="">
      <xdr:nvSpPr>
        <xdr:cNvPr id="103" name="Oval 102">
          <a:extLst>
            <a:ext uri="{FF2B5EF4-FFF2-40B4-BE49-F238E27FC236}">
              <a16:creationId xmlns:a16="http://schemas.microsoft.com/office/drawing/2014/main" id="{F14C5D30-02A0-8788-F587-85076BE8283F}"/>
            </a:ext>
          </a:extLst>
        </xdr:cNvPr>
        <xdr:cNvSpPr/>
      </xdr:nvSpPr>
      <xdr:spPr>
        <a:xfrm>
          <a:off x="13501067429" y="47443856"/>
          <a:ext cx="179154" cy="163229"/>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660877</xdr:colOff>
      <xdr:row>231</xdr:row>
      <xdr:rowOff>19906</xdr:rowOff>
    </xdr:from>
    <xdr:to>
      <xdr:col>1</xdr:col>
      <xdr:colOff>15924</xdr:colOff>
      <xdr:row>231</xdr:row>
      <xdr:rowOff>183135</xdr:rowOff>
    </xdr:to>
    <xdr:sp macro="" textlink="">
      <xdr:nvSpPr>
        <xdr:cNvPr id="104" name="Oval 103">
          <a:extLst>
            <a:ext uri="{FF2B5EF4-FFF2-40B4-BE49-F238E27FC236}">
              <a16:creationId xmlns:a16="http://schemas.microsoft.com/office/drawing/2014/main" id="{CAB17CB3-C2A5-4C1B-A1A1-3E82764D0EC3}"/>
            </a:ext>
          </a:extLst>
        </xdr:cNvPr>
        <xdr:cNvSpPr/>
      </xdr:nvSpPr>
      <xdr:spPr>
        <a:xfrm>
          <a:off x="13501322226" y="47439875"/>
          <a:ext cx="179154" cy="163229"/>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43606</xdr:colOff>
      <xdr:row>232</xdr:row>
      <xdr:rowOff>7963</xdr:rowOff>
    </xdr:from>
    <xdr:to>
      <xdr:col>1</xdr:col>
      <xdr:colOff>160525</xdr:colOff>
      <xdr:row>232</xdr:row>
      <xdr:rowOff>176350</xdr:rowOff>
    </xdr:to>
    <xdr:sp macro="" textlink="">
      <xdr:nvSpPr>
        <xdr:cNvPr id="105" name="Freeform 104">
          <a:extLst>
            <a:ext uri="{FF2B5EF4-FFF2-40B4-BE49-F238E27FC236}">
              <a16:creationId xmlns:a16="http://schemas.microsoft.com/office/drawing/2014/main" id="{952FEB45-C355-3022-2CEA-1519AD356C92}"/>
            </a:ext>
          </a:extLst>
        </xdr:cNvPr>
        <xdr:cNvSpPr/>
      </xdr:nvSpPr>
      <xdr:spPr>
        <a:xfrm>
          <a:off x="13501177625" y="47630972"/>
          <a:ext cx="116919" cy="168387"/>
        </a:xfrm>
        <a:custGeom>
          <a:avLst/>
          <a:gdLst>
            <a:gd name="connsiteX0" fmla="*/ 100808 w 116919"/>
            <a:gd name="connsiteY0" fmla="*/ 0 h 168387"/>
            <a:gd name="connsiteX1" fmla="*/ 88864 w 116919"/>
            <a:gd name="connsiteY1" fmla="*/ 39812 h 168387"/>
            <a:gd name="connsiteX2" fmla="*/ 72939 w 116919"/>
            <a:gd name="connsiteY2" fmla="*/ 55736 h 168387"/>
            <a:gd name="connsiteX3" fmla="*/ 53033 w 116919"/>
            <a:gd name="connsiteY3" fmla="*/ 91567 h 168387"/>
            <a:gd name="connsiteX4" fmla="*/ 25165 w 116919"/>
            <a:gd name="connsiteY4" fmla="*/ 127398 h 168387"/>
            <a:gd name="connsiteX5" fmla="*/ 5259 w 116919"/>
            <a:gd name="connsiteY5" fmla="*/ 155266 h 168387"/>
            <a:gd name="connsiteX6" fmla="*/ 1278 w 116919"/>
            <a:gd name="connsiteY6" fmla="*/ 167210 h 168387"/>
            <a:gd name="connsiteX7" fmla="*/ 45071 w 116919"/>
            <a:gd name="connsiteY7" fmla="*/ 159247 h 168387"/>
            <a:gd name="connsiteX8" fmla="*/ 60996 w 116919"/>
            <a:gd name="connsiteY8" fmla="*/ 155266 h 168387"/>
            <a:gd name="connsiteX9" fmla="*/ 84883 w 116919"/>
            <a:gd name="connsiteY9" fmla="*/ 159247 h 168387"/>
            <a:gd name="connsiteX10" fmla="*/ 108770 w 116919"/>
            <a:gd name="connsiteY10" fmla="*/ 167210 h 168387"/>
            <a:gd name="connsiteX11" fmla="*/ 112751 w 116919"/>
            <a:gd name="connsiteY11" fmla="*/ 123417 h 168387"/>
            <a:gd name="connsiteX12" fmla="*/ 108770 w 116919"/>
            <a:gd name="connsiteY12" fmla="*/ 123417 h 1683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16919" h="168387">
              <a:moveTo>
                <a:pt x="100808" y="0"/>
              </a:moveTo>
              <a:cubicBezTo>
                <a:pt x="98100" y="16247"/>
                <a:pt x="98782" y="26588"/>
                <a:pt x="88864" y="39812"/>
              </a:cubicBezTo>
              <a:cubicBezTo>
                <a:pt x="84360" y="45817"/>
                <a:pt x="78247" y="50428"/>
                <a:pt x="72939" y="55736"/>
              </a:cubicBezTo>
              <a:cubicBezTo>
                <a:pt x="66932" y="73758"/>
                <a:pt x="69005" y="71031"/>
                <a:pt x="53033" y="91567"/>
              </a:cubicBezTo>
              <a:cubicBezTo>
                <a:pt x="43744" y="103511"/>
                <a:pt x="31931" y="113864"/>
                <a:pt x="25165" y="127398"/>
              </a:cubicBezTo>
              <a:cubicBezTo>
                <a:pt x="14685" y="148359"/>
                <a:pt x="21400" y="139127"/>
                <a:pt x="5259" y="155266"/>
              </a:cubicBezTo>
              <a:cubicBezTo>
                <a:pt x="3932" y="159247"/>
                <a:pt x="-2757" y="166057"/>
                <a:pt x="1278" y="167210"/>
              </a:cubicBezTo>
              <a:cubicBezTo>
                <a:pt x="16105" y="171447"/>
                <a:pt x="31288" y="163185"/>
                <a:pt x="45071" y="159247"/>
              </a:cubicBezTo>
              <a:cubicBezTo>
                <a:pt x="50332" y="157744"/>
                <a:pt x="55688" y="156593"/>
                <a:pt x="60996" y="155266"/>
              </a:cubicBezTo>
              <a:cubicBezTo>
                <a:pt x="68958" y="156593"/>
                <a:pt x="77052" y="157289"/>
                <a:pt x="84883" y="159247"/>
              </a:cubicBezTo>
              <a:cubicBezTo>
                <a:pt x="93025" y="161283"/>
                <a:pt x="108770" y="167210"/>
                <a:pt x="108770" y="167210"/>
              </a:cubicBezTo>
              <a:cubicBezTo>
                <a:pt x="115699" y="146421"/>
                <a:pt x="120936" y="143880"/>
                <a:pt x="112751" y="123417"/>
              </a:cubicBezTo>
              <a:cubicBezTo>
                <a:pt x="112258" y="122185"/>
                <a:pt x="110097" y="123417"/>
                <a:pt x="108770" y="12341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744483</xdr:colOff>
      <xdr:row>233</xdr:row>
      <xdr:rowOff>95548</xdr:rowOff>
    </xdr:from>
    <xdr:to>
      <xdr:col>1</xdr:col>
      <xdr:colOff>259001</xdr:colOff>
      <xdr:row>234</xdr:row>
      <xdr:rowOff>3980</xdr:rowOff>
    </xdr:to>
    <xdr:sp macro="" textlink="">
      <xdr:nvSpPr>
        <xdr:cNvPr id="106" name="Freeform 105">
          <a:extLst>
            <a:ext uri="{FF2B5EF4-FFF2-40B4-BE49-F238E27FC236}">
              <a16:creationId xmlns:a16="http://schemas.microsoft.com/office/drawing/2014/main" id="{2C243598-C68D-0686-0771-B8438755030D}"/>
            </a:ext>
          </a:extLst>
        </xdr:cNvPr>
        <xdr:cNvSpPr/>
      </xdr:nvSpPr>
      <xdr:spPr>
        <a:xfrm>
          <a:off x="13501079149" y="47921598"/>
          <a:ext cx="338625" cy="111473"/>
        </a:xfrm>
        <a:custGeom>
          <a:avLst/>
          <a:gdLst>
            <a:gd name="connsiteX0" fmla="*/ 36055 w 298813"/>
            <a:gd name="connsiteY0" fmla="*/ 67680 h 155266"/>
            <a:gd name="connsiteX1" fmla="*/ 131603 w 298813"/>
            <a:gd name="connsiteY1" fmla="*/ 31849 h 155266"/>
            <a:gd name="connsiteX2" fmla="*/ 167434 w 298813"/>
            <a:gd name="connsiteY2" fmla="*/ 15924 h 155266"/>
            <a:gd name="connsiteX3" fmla="*/ 191321 w 298813"/>
            <a:gd name="connsiteY3" fmla="*/ 3981 h 155266"/>
            <a:gd name="connsiteX4" fmla="*/ 211227 w 298813"/>
            <a:gd name="connsiteY4" fmla="*/ 0 h 155266"/>
            <a:gd name="connsiteX5" fmla="*/ 231133 w 298813"/>
            <a:gd name="connsiteY5" fmla="*/ 15924 h 155266"/>
            <a:gd name="connsiteX6" fmla="*/ 247058 w 298813"/>
            <a:gd name="connsiteY6" fmla="*/ 19906 h 155266"/>
            <a:gd name="connsiteX7" fmla="*/ 270945 w 298813"/>
            <a:gd name="connsiteY7" fmla="*/ 35830 h 155266"/>
            <a:gd name="connsiteX8" fmla="*/ 282889 w 298813"/>
            <a:gd name="connsiteY8" fmla="*/ 43793 h 155266"/>
            <a:gd name="connsiteX9" fmla="*/ 286870 w 298813"/>
            <a:gd name="connsiteY9" fmla="*/ 55736 h 155266"/>
            <a:gd name="connsiteX10" fmla="*/ 298813 w 298813"/>
            <a:gd name="connsiteY10" fmla="*/ 79623 h 155266"/>
            <a:gd name="connsiteX11" fmla="*/ 286870 w 298813"/>
            <a:gd name="connsiteY11" fmla="*/ 123417 h 155266"/>
            <a:gd name="connsiteX12" fmla="*/ 278907 w 298813"/>
            <a:gd name="connsiteY12" fmla="*/ 131379 h 155266"/>
            <a:gd name="connsiteX13" fmla="*/ 262983 w 298813"/>
            <a:gd name="connsiteY13" fmla="*/ 155266 h 155266"/>
            <a:gd name="connsiteX14" fmla="*/ 239096 w 298813"/>
            <a:gd name="connsiteY14" fmla="*/ 147304 h 155266"/>
            <a:gd name="connsiteX15" fmla="*/ 219190 w 298813"/>
            <a:gd name="connsiteY15" fmla="*/ 139341 h 155266"/>
            <a:gd name="connsiteX16" fmla="*/ 187340 w 298813"/>
            <a:gd name="connsiteY16" fmla="*/ 135360 h 155266"/>
            <a:gd name="connsiteX17" fmla="*/ 71885 w 298813"/>
            <a:gd name="connsiteY17" fmla="*/ 131379 h 155266"/>
            <a:gd name="connsiteX18" fmla="*/ 51980 w 298813"/>
            <a:gd name="connsiteY18" fmla="*/ 123417 h 155266"/>
            <a:gd name="connsiteX19" fmla="*/ 4205 w 298813"/>
            <a:gd name="connsiteY19" fmla="*/ 115454 h 155266"/>
            <a:gd name="connsiteX20" fmla="*/ 4205 w 298813"/>
            <a:gd name="connsiteY20" fmla="*/ 91567 h 155266"/>
            <a:gd name="connsiteX21" fmla="*/ 16149 w 298813"/>
            <a:gd name="connsiteY21" fmla="*/ 87586 h 155266"/>
            <a:gd name="connsiteX22" fmla="*/ 28092 w 298813"/>
            <a:gd name="connsiteY22" fmla="*/ 79623 h 155266"/>
            <a:gd name="connsiteX23" fmla="*/ 36055 w 298813"/>
            <a:gd name="connsiteY23" fmla="*/ 71661 h 155266"/>
            <a:gd name="connsiteX24" fmla="*/ 47998 w 298813"/>
            <a:gd name="connsiteY24" fmla="*/ 67680 h 155266"/>
            <a:gd name="connsiteX25" fmla="*/ 71885 w 298813"/>
            <a:gd name="connsiteY25" fmla="*/ 79623 h 155266"/>
            <a:gd name="connsiteX26" fmla="*/ 91791 w 298813"/>
            <a:gd name="connsiteY26" fmla="*/ 91567 h 155266"/>
            <a:gd name="connsiteX27" fmla="*/ 231133 w 298813"/>
            <a:gd name="connsiteY27" fmla="*/ 95548 h 155266"/>
            <a:gd name="connsiteX28" fmla="*/ 266964 w 298813"/>
            <a:gd name="connsiteY28" fmla="*/ 99529 h 155266"/>
            <a:gd name="connsiteX29" fmla="*/ 278907 w 298813"/>
            <a:gd name="connsiteY29" fmla="*/ 103511 h 155266"/>
            <a:gd name="connsiteX30" fmla="*/ 278907 w 298813"/>
            <a:gd name="connsiteY30" fmla="*/ 111473 h 15526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Lst>
          <a:rect l="l" t="t" r="r" b="b"/>
          <a:pathLst>
            <a:path w="298813" h="155266">
              <a:moveTo>
                <a:pt x="36055" y="67680"/>
              </a:moveTo>
              <a:cubicBezTo>
                <a:pt x="67904" y="55736"/>
                <a:pt x="100520" y="45664"/>
                <a:pt x="131603" y="31849"/>
              </a:cubicBezTo>
              <a:cubicBezTo>
                <a:pt x="143547" y="26541"/>
                <a:pt x="155590" y="21451"/>
                <a:pt x="167434" y="15924"/>
              </a:cubicBezTo>
              <a:cubicBezTo>
                <a:pt x="175501" y="12159"/>
                <a:pt x="182955" y="7023"/>
                <a:pt x="191321" y="3981"/>
              </a:cubicBezTo>
              <a:cubicBezTo>
                <a:pt x="197680" y="1669"/>
                <a:pt x="204592" y="1327"/>
                <a:pt x="211227" y="0"/>
              </a:cubicBezTo>
              <a:cubicBezTo>
                <a:pt x="250271" y="13013"/>
                <a:pt x="195122" y="-8084"/>
                <a:pt x="231133" y="15924"/>
              </a:cubicBezTo>
              <a:cubicBezTo>
                <a:pt x="235686" y="18959"/>
                <a:pt x="241750" y="18579"/>
                <a:pt x="247058" y="19906"/>
              </a:cubicBezTo>
              <a:lnTo>
                <a:pt x="270945" y="35830"/>
              </a:lnTo>
              <a:lnTo>
                <a:pt x="282889" y="43793"/>
              </a:lnTo>
              <a:cubicBezTo>
                <a:pt x="284216" y="47774"/>
                <a:pt x="284993" y="51983"/>
                <a:pt x="286870" y="55736"/>
              </a:cubicBezTo>
              <a:cubicBezTo>
                <a:pt x="302304" y="86606"/>
                <a:pt x="288807" y="49605"/>
                <a:pt x="298813" y="79623"/>
              </a:cubicBezTo>
              <a:cubicBezTo>
                <a:pt x="295390" y="107009"/>
                <a:pt x="300252" y="106690"/>
                <a:pt x="286870" y="123417"/>
              </a:cubicBezTo>
              <a:cubicBezTo>
                <a:pt x="284525" y="126348"/>
                <a:pt x="281159" y="128376"/>
                <a:pt x="278907" y="131379"/>
              </a:cubicBezTo>
              <a:cubicBezTo>
                <a:pt x="273165" y="139034"/>
                <a:pt x="262983" y="155266"/>
                <a:pt x="262983" y="155266"/>
              </a:cubicBezTo>
              <a:cubicBezTo>
                <a:pt x="255021" y="152612"/>
                <a:pt x="246984" y="150172"/>
                <a:pt x="239096" y="147304"/>
              </a:cubicBezTo>
              <a:cubicBezTo>
                <a:pt x="232380" y="144862"/>
                <a:pt x="226154" y="140948"/>
                <a:pt x="219190" y="139341"/>
              </a:cubicBezTo>
              <a:cubicBezTo>
                <a:pt x="208765" y="136935"/>
                <a:pt x="198024" y="135937"/>
                <a:pt x="187340" y="135360"/>
              </a:cubicBezTo>
              <a:cubicBezTo>
                <a:pt x="148888" y="133282"/>
                <a:pt x="110370" y="132706"/>
                <a:pt x="71885" y="131379"/>
              </a:cubicBezTo>
              <a:cubicBezTo>
                <a:pt x="65250" y="128725"/>
                <a:pt x="58967" y="124914"/>
                <a:pt x="51980" y="123417"/>
              </a:cubicBezTo>
              <a:cubicBezTo>
                <a:pt x="-22698" y="107414"/>
                <a:pt x="39659" y="127271"/>
                <a:pt x="4205" y="115454"/>
              </a:cubicBezTo>
              <a:cubicBezTo>
                <a:pt x="1551" y="107492"/>
                <a:pt x="-3757" y="99529"/>
                <a:pt x="4205" y="91567"/>
              </a:cubicBezTo>
              <a:cubicBezTo>
                <a:pt x="7172" y="88600"/>
                <a:pt x="12168" y="88913"/>
                <a:pt x="16149" y="87586"/>
              </a:cubicBezTo>
              <a:cubicBezTo>
                <a:pt x="20130" y="84932"/>
                <a:pt x="24356" y="82612"/>
                <a:pt x="28092" y="79623"/>
              </a:cubicBezTo>
              <a:cubicBezTo>
                <a:pt x="31023" y="77278"/>
                <a:pt x="32836" y="73592"/>
                <a:pt x="36055" y="71661"/>
              </a:cubicBezTo>
              <a:cubicBezTo>
                <a:pt x="39653" y="69502"/>
                <a:pt x="44017" y="69007"/>
                <a:pt x="47998" y="67680"/>
              </a:cubicBezTo>
              <a:cubicBezTo>
                <a:pt x="60613" y="71885"/>
                <a:pt x="60860" y="70803"/>
                <a:pt x="71885" y="79623"/>
              </a:cubicBezTo>
              <a:cubicBezTo>
                <a:pt x="80531" y="86540"/>
                <a:pt x="78840" y="90885"/>
                <a:pt x="91791" y="91567"/>
              </a:cubicBezTo>
              <a:cubicBezTo>
                <a:pt x="138193" y="94009"/>
                <a:pt x="184686" y="94221"/>
                <a:pt x="231133" y="95548"/>
              </a:cubicBezTo>
              <a:cubicBezTo>
                <a:pt x="243077" y="96875"/>
                <a:pt x="255110" y="97553"/>
                <a:pt x="266964" y="99529"/>
              </a:cubicBezTo>
              <a:cubicBezTo>
                <a:pt x="271103" y="100219"/>
                <a:pt x="275940" y="100544"/>
                <a:pt x="278907" y="103511"/>
              </a:cubicBezTo>
              <a:lnTo>
                <a:pt x="278907" y="111473"/>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736520</xdr:colOff>
      <xdr:row>230</xdr:row>
      <xdr:rowOff>0</xdr:rowOff>
    </xdr:from>
    <xdr:to>
      <xdr:col>5</xdr:col>
      <xdr:colOff>668840</xdr:colOff>
      <xdr:row>235</xdr:row>
      <xdr:rowOff>11943</xdr:rowOff>
    </xdr:to>
    <xdr:sp macro="" textlink="">
      <xdr:nvSpPr>
        <xdr:cNvPr id="107" name="Rounded Rectangular Callout 106">
          <a:extLst>
            <a:ext uri="{FF2B5EF4-FFF2-40B4-BE49-F238E27FC236}">
              <a16:creationId xmlns:a16="http://schemas.microsoft.com/office/drawing/2014/main" id="{64B1A71A-FB7D-7A7D-DCD8-D06B02129D71}"/>
            </a:ext>
          </a:extLst>
        </xdr:cNvPr>
        <xdr:cNvSpPr/>
      </xdr:nvSpPr>
      <xdr:spPr>
        <a:xfrm>
          <a:off x="13497372884" y="47216928"/>
          <a:ext cx="3228746" cy="1027147"/>
        </a:xfrm>
        <a:prstGeom prst="wedgeRoundRectCallout">
          <a:avLst>
            <a:gd name="adj1" fmla="val 60301"/>
            <a:gd name="adj2" fmla="val 2800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הילה מוסיפה ואומרת: שי, הדגש בפני הסטודנטים את העובדה שגם אם בשלב מסוים הנכס כשיר להכרה כנב״מ, עלויות היסטוריות</a:t>
          </a:r>
          <a:r>
            <a:rPr lang="he-IL" sz="1100" baseline="0"/>
            <a:t> שנתהוו בשנים קודמות שבהן לא התקיימו הקריטריונים להכרה - לא יעודכנו / יוחזרו לנכס. </a:t>
          </a:r>
          <a:endParaRPr lang="en-US" sz="1100"/>
        </a:p>
      </xdr:txBody>
    </xdr:sp>
    <xdr:clientData/>
  </xdr:twoCellAnchor>
  <xdr:twoCellAnchor>
    <xdr:from>
      <xdr:col>1</xdr:col>
      <xdr:colOff>137415</xdr:colOff>
      <xdr:row>231</xdr:row>
      <xdr:rowOff>127398</xdr:rowOff>
    </xdr:from>
    <xdr:to>
      <xdr:col>1</xdr:col>
      <xdr:colOff>183134</xdr:colOff>
      <xdr:row>231</xdr:row>
      <xdr:rowOff>173117</xdr:rowOff>
    </xdr:to>
    <xdr:sp macro="" textlink="">
      <xdr:nvSpPr>
        <xdr:cNvPr id="108" name="Oval 107">
          <a:extLst>
            <a:ext uri="{FF2B5EF4-FFF2-40B4-BE49-F238E27FC236}">
              <a16:creationId xmlns:a16="http://schemas.microsoft.com/office/drawing/2014/main" id="{36627336-F4A9-2685-79C3-CC610DB4EA45}"/>
            </a:ext>
          </a:extLst>
        </xdr:cNvPr>
        <xdr:cNvSpPr/>
      </xdr:nvSpPr>
      <xdr:spPr>
        <a:xfrm>
          <a:off x="13501155016" y="47547367"/>
          <a:ext cx="45719" cy="457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716615</xdr:colOff>
      <xdr:row>231</xdr:row>
      <xdr:rowOff>127398</xdr:rowOff>
    </xdr:from>
    <xdr:to>
      <xdr:col>0</xdr:col>
      <xdr:colOff>762334</xdr:colOff>
      <xdr:row>231</xdr:row>
      <xdr:rowOff>173117</xdr:rowOff>
    </xdr:to>
    <xdr:sp macro="" textlink="">
      <xdr:nvSpPr>
        <xdr:cNvPr id="109" name="Oval 108">
          <a:extLst>
            <a:ext uri="{FF2B5EF4-FFF2-40B4-BE49-F238E27FC236}">
              <a16:creationId xmlns:a16="http://schemas.microsoft.com/office/drawing/2014/main" id="{3129DEEA-856F-4B4F-8278-0B734EE8DA46}"/>
            </a:ext>
          </a:extLst>
        </xdr:cNvPr>
        <xdr:cNvSpPr/>
      </xdr:nvSpPr>
      <xdr:spPr>
        <a:xfrm>
          <a:off x="13501399923" y="47547367"/>
          <a:ext cx="45719" cy="45719"/>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142187</xdr:colOff>
      <xdr:row>522</xdr:row>
      <xdr:rowOff>29084</xdr:rowOff>
    </xdr:from>
    <xdr:to>
      <xdr:col>2</xdr:col>
      <xdr:colOff>326385</xdr:colOff>
      <xdr:row>527</xdr:row>
      <xdr:rowOff>155115</xdr:rowOff>
    </xdr:to>
    <xdr:sp macro="" textlink="">
      <xdr:nvSpPr>
        <xdr:cNvPr id="110" name="Oval 109">
          <a:extLst>
            <a:ext uri="{FF2B5EF4-FFF2-40B4-BE49-F238E27FC236}">
              <a16:creationId xmlns:a16="http://schemas.microsoft.com/office/drawing/2014/main" id="{B1F9FB1D-3C0C-454A-6EC9-A880302AF307}"/>
            </a:ext>
          </a:extLst>
        </xdr:cNvPr>
        <xdr:cNvSpPr/>
      </xdr:nvSpPr>
      <xdr:spPr>
        <a:xfrm>
          <a:off x="13499191935" y="106880356"/>
          <a:ext cx="1008244" cy="1143970"/>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772341</xdr:colOff>
      <xdr:row>523</xdr:row>
      <xdr:rowOff>90483</xdr:rowOff>
    </xdr:from>
    <xdr:to>
      <xdr:col>2</xdr:col>
      <xdr:colOff>122798</xdr:colOff>
      <xdr:row>524</xdr:row>
      <xdr:rowOff>145419</xdr:rowOff>
    </xdr:to>
    <xdr:sp macro="" textlink="">
      <xdr:nvSpPr>
        <xdr:cNvPr id="111" name="Oval 110">
          <a:extLst>
            <a:ext uri="{FF2B5EF4-FFF2-40B4-BE49-F238E27FC236}">
              <a16:creationId xmlns:a16="http://schemas.microsoft.com/office/drawing/2014/main" id="{E8655323-DE70-B7F3-4458-7BD32214FCE0}"/>
            </a:ext>
          </a:extLst>
        </xdr:cNvPr>
        <xdr:cNvSpPr/>
      </xdr:nvSpPr>
      <xdr:spPr>
        <a:xfrm>
          <a:off x="13499395522" y="107145343"/>
          <a:ext cx="174503" cy="25852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368397</xdr:colOff>
      <xdr:row>523</xdr:row>
      <xdr:rowOff>87252</xdr:rowOff>
    </xdr:from>
    <xdr:to>
      <xdr:col>1</xdr:col>
      <xdr:colOff>542900</xdr:colOff>
      <xdr:row>524</xdr:row>
      <xdr:rowOff>142188</xdr:rowOff>
    </xdr:to>
    <xdr:sp macro="" textlink="">
      <xdr:nvSpPr>
        <xdr:cNvPr id="112" name="Oval 111">
          <a:extLst>
            <a:ext uri="{FF2B5EF4-FFF2-40B4-BE49-F238E27FC236}">
              <a16:creationId xmlns:a16="http://schemas.microsoft.com/office/drawing/2014/main" id="{BB7EC2EE-9DF8-96BF-BF6E-6A08376BE9C6}"/>
            </a:ext>
          </a:extLst>
        </xdr:cNvPr>
        <xdr:cNvSpPr/>
      </xdr:nvSpPr>
      <xdr:spPr>
        <a:xfrm>
          <a:off x="13499799466" y="107142112"/>
          <a:ext cx="174503" cy="258524"/>
        </a:xfrm>
        <a:prstGeom prst="ellipse">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384523</xdr:colOff>
      <xdr:row>525</xdr:row>
      <xdr:rowOff>203587</xdr:rowOff>
    </xdr:from>
    <xdr:to>
      <xdr:col>2</xdr:col>
      <xdr:colOff>48473</xdr:colOff>
      <xdr:row>526</xdr:row>
      <xdr:rowOff>168041</xdr:rowOff>
    </xdr:to>
    <xdr:sp macro="" textlink="">
      <xdr:nvSpPr>
        <xdr:cNvPr id="113" name="Freeform 112">
          <a:extLst>
            <a:ext uri="{FF2B5EF4-FFF2-40B4-BE49-F238E27FC236}">
              <a16:creationId xmlns:a16="http://schemas.microsoft.com/office/drawing/2014/main" id="{3D397934-51B0-F443-AF4E-708ED82F469C}"/>
            </a:ext>
          </a:extLst>
        </xdr:cNvPr>
        <xdr:cNvSpPr/>
      </xdr:nvSpPr>
      <xdr:spPr>
        <a:xfrm>
          <a:off x="13499469847" y="107665623"/>
          <a:ext cx="487996" cy="168041"/>
        </a:xfrm>
        <a:custGeom>
          <a:avLst/>
          <a:gdLst>
            <a:gd name="connsiteX0" fmla="*/ 6463 w 487996"/>
            <a:gd name="connsiteY0" fmla="*/ 0 h 168041"/>
            <a:gd name="connsiteX1" fmla="*/ 96947 w 487996"/>
            <a:gd name="connsiteY1" fmla="*/ 6464 h 168041"/>
            <a:gd name="connsiteX2" fmla="*/ 155115 w 487996"/>
            <a:gd name="connsiteY2" fmla="*/ 9695 h 168041"/>
            <a:gd name="connsiteX3" fmla="*/ 445955 w 487996"/>
            <a:gd name="connsiteY3" fmla="*/ 12927 h 168041"/>
            <a:gd name="connsiteX4" fmla="*/ 458881 w 487996"/>
            <a:gd name="connsiteY4" fmla="*/ 9695 h 168041"/>
            <a:gd name="connsiteX5" fmla="*/ 475038 w 487996"/>
            <a:gd name="connsiteY5" fmla="*/ 6464 h 168041"/>
            <a:gd name="connsiteX6" fmla="*/ 484733 w 487996"/>
            <a:gd name="connsiteY6" fmla="*/ 3232 h 168041"/>
            <a:gd name="connsiteX7" fmla="*/ 484733 w 487996"/>
            <a:gd name="connsiteY7" fmla="*/ 22621 h 168041"/>
            <a:gd name="connsiteX8" fmla="*/ 475038 w 487996"/>
            <a:gd name="connsiteY8" fmla="*/ 61400 h 168041"/>
            <a:gd name="connsiteX9" fmla="*/ 462112 w 487996"/>
            <a:gd name="connsiteY9" fmla="*/ 80789 h 168041"/>
            <a:gd name="connsiteX10" fmla="*/ 455649 w 487996"/>
            <a:gd name="connsiteY10" fmla="*/ 90484 h 168041"/>
            <a:gd name="connsiteX11" fmla="*/ 445955 w 487996"/>
            <a:gd name="connsiteY11" fmla="*/ 100179 h 168041"/>
            <a:gd name="connsiteX12" fmla="*/ 436260 w 487996"/>
            <a:gd name="connsiteY12" fmla="*/ 116336 h 168041"/>
            <a:gd name="connsiteX13" fmla="*/ 426565 w 487996"/>
            <a:gd name="connsiteY13" fmla="*/ 119568 h 168041"/>
            <a:gd name="connsiteX14" fmla="*/ 410407 w 487996"/>
            <a:gd name="connsiteY14" fmla="*/ 122799 h 168041"/>
            <a:gd name="connsiteX15" fmla="*/ 394250 w 487996"/>
            <a:gd name="connsiteY15" fmla="*/ 129262 h 168041"/>
            <a:gd name="connsiteX16" fmla="*/ 378092 w 487996"/>
            <a:gd name="connsiteY16" fmla="*/ 138957 h 168041"/>
            <a:gd name="connsiteX17" fmla="*/ 352240 w 487996"/>
            <a:gd name="connsiteY17" fmla="*/ 148652 h 168041"/>
            <a:gd name="connsiteX18" fmla="*/ 326387 w 487996"/>
            <a:gd name="connsiteY18" fmla="*/ 151883 h 168041"/>
            <a:gd name="connsiteX19" fmla="*/ 287608 w 487996"/>
            <a:gd name="connsiteY19" fmla="*/ 158346 h 168041"/>
            <a:gd name="connsiteX20" fmla="*/ 232672 w 487996"/>
            <a:gd name="connsiteY20" fmla="*/ 164810 h 168041"/>
            <a:gd name="connsiteX21" fmla="*/ 213283 w 487996"/>
            <a:gd name="connsiteY21" fmla="*/ 168041 h 168041"/>
            <a:gd name="connsiteX22" fmla="*/ 197125 w 487996"/>
            <a:gd name="connsiteY22" fmla="*/ 164810 h 168041"/>
            <a:gd name="connsiteX23" fmla="*/ 177736 w 487996"/>
            <a:gd name="connsiteY23" fmla="*/ 161578 h 168041"/>
            <a:gd name="connsiteX24" fmla="*/ 158346 w 487996"/>
            <a:gd name="connsiteY24" fmla="*/ 151883 h 168041"/>
            <a:gd name="connsiteX25" fmla="*/ 122799 w 487996"/>
            <a:gd name="connsiteY25" fmla="*/ 142189 h 168041"/>
            <a:gd name="connsiteX26" fmla="*/ 113105 w 487996"/>
            <a:gd name="connsiteY26" fmla="*/ 135726 h 168041"/>
            <a:gd name="connsiteX27" fmla="*/ 103410 w 487996"/>
            <a:gd name="connsiteY27" fmla="*/ 132494 h 168041"/>
            <a:gd name="connsiteX28" fmla="*/ 80789 w 487996"/>
            <a:gd name="connsiteY28" fmla="*/ 116336 h 168041"/>
            <a:gd name="connsiteX29" fmla="*/ 67863 w 487996"/>
            <a:gd name="connsiteY29" fmla="*/ 113105 h 168041"/>
            <a:gd name="connsiteX30" fmla="*/ 45242 w 487996"/>
            <a:gd name="connsiteY30" fmla="*/ 96947 h 168041"/>
            <a:gd name="connsiteX31" fmla="*/ 35547 w 487996"/>
            <a:gd name="connsiteY31" fmla="*/ 87252 h 168041"/>
            <a:gd name="connsiteX32" fmla="*/ 19390 w 487996"/>
            <a:gd name="connsiteY32" fmla="*/ 61400 h 168041"/>
            <a:gd name="connsiteX33" fmla="*/ 6463 w 487996"/>
            <a:gd name="connsiteY33" fmla="*/ 42011 h 168041"/>
            <a:gd name="connsiteX34" fmla="*/ 0 w 487996"/>
            <a:gd name="connsiteY34" fmla="*/ 32316 h 168041"/>
            <a:gd name="connsiteX35" fmla="*/ 6463 w 487996"/>
            <a:gd name="connsiteY35" fmla="*/ 0 h 16804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Lst>
          <a:rect l="l" t="t" r="r" b="b"/>
          <a:pathLst>
            <a:path w="487996" h="168041">
              <a:moveTo>
                <a:pt x="6463" y="0"/>
              </a:moveTo>
              <a:cubicBezTo>
                <a:pt x="52516" y="6580"/>
                <a:pt x="18464" y="2439"/>
                <a:pt x="96947" y="6464"/>
              </a:cubicBezTo>
              <a:lnTo>
                <a:pt x="155115" y="9695"/>
              </a:lnTo>
              <a:cubicBezTo>
                <a:pt x="271938" y="33060"/>
                <a:pt x="176446" y="16295"/>
                <a:pt x="445955" y="12927"/>
              </a:cubicBezTo>
              <a:cubicBezTo>
                <a:pt x="450264" y="11850"/>
                <a:pt x="454545" y="10658"/>
                <a:pt x="458881" y="9695"/>
              </a:cubicBezTo>
              <a:cubicBezTo>
                <a:pt x="464243" y="8504"/>
                <a:pt x="469710" y="7796"/>
                <a:pt x="475038" y="6464"/>
              </a:cubicBezTo>
              <a:cubicBezTo>
                <a:pt x="478343" y="5638"/>
                <a:pt x="481501" y="4309"/>
                <a:pt x="484733" y="3232"/>
              </a:cubicBezTo>
              <a:cubicBezTo>
                <a:pt x="489905" y="18745"/>
                <a:pt x="488180" y="7109"/>
                <a:pt x="484733" y="22621"/>
              </a:cubicBezTo>
              <a:cubicBezTo>
                <a:pt x="482309" y="33529"/>
                <a:pt x="481571" y="51600"/>
                <a:pt x="475038" y="61400"/>
              </a:cubicBezTo>
              <a:lnTo>
                <a:pt x="462112" y="80789"/>
              </a:lnTo>
              <a:cubicBezTo>
                <a:pt x="459958" y="84021"/>
                <a:pt x="458395" y="87738"/>
                <a:pt x="455649" y="90484"/>
              </a:cubicBezTo>
              <a:cubicBezTo>
                <a:pt x="452418" y="93716"/>
                <a:pt x="448697" y="96523"/>
                <a:pt x="445955" y="100179"/>
              </a:cubicBezTo>
              <a:cubicBezTo>
                <a:pt x="442186" y="105204"/>
                <a:pt x="440701" y="111895"/>
                <a:pt x="436260" y="116336"/>
              </a:cubicBezTo>
              <a:cubicBezTo>
                <a:pt x="433851" y="118745"/>
                <a:pt x="429870" y="118742"/>
                <a:pt x="426565" y="119568"/>
              </a:cubicBezTo>
              <a:cubicBezTo>
                <a:pt x="421236" y="120900"/>
                <a:pt x="415793" y="121722"/>
                <a:pt x="410407" y="122799"/>
              </a:cubicBezTo>
              <a:cubicBezTo>
                <a:pt x="405021" y="124953"/>
                <a:pt x="399438" y="126668"/>
                <a:pt x="394250" y="129262"/>
              </a:cubicBezTo>
              <a:cubicBezTo>
                <a:pt x="388632" y="132071"/>
                <a:pt x="383710" y="136148"/>
                <a:pt x="378092" y="138957"/>
              </a:cubicBezTo>
              <a:cubicBezTo>
                <a:pt x="377174" y="139416"/>
                <a:pt x="356631" y="147854"/>
                <a:pt x="352240" y="148652"/>
              </a:cubicBezTo>
              <a:cubicBezTo>
                <a:pt x="343695" y="150206"/>
                <a:pt x="334971" y="150562"/>
                <a:pt x="326387" y="151883"/>
              </a:cubicBezTo>
              <a:cubicBezTo>
                <a:pt x="277435" y="159414"/>
                <a:pt x="350785" y="150449"/>
                <a:pt x="287608" y="158346"/>
              </a:cubicBezTo>
              <a:cubicBezTo>
                <a:pt x="260469" y="161738"/>
                <a:pt x="258788" y="161079"/>
                <a:pt x="232672" y="164810"/>
              </a:cubicBezTo>
              <a:cubicBezTo>
                <a:pt x="226186" y="165737"/>
                <a:pt x="219746" y="166964"/>
                <a:pt x="213283" y="168041"/>
              </a:cubicBezTo>
              <a:lnTo>
                <a:pt x="197125" y="164810"/>
              </a:lnTo>
              <a:cubicBezTo>
                <a:pt x="190679" y="163638"/>
                <a:pt x="183952" y="163650"/>
                <a:pt x="177736" y="161578"/>
              </a:cubicBezTo>
              <a:cubicBezTo>
                <a:pt x="170881" y="159293"/>
                <a:pt x="165016" y="154662"/>
                <a:pt x="158346" y="151883"/>
              </a:cubicBezTo>
              <a:cubicBezTo>
                <a:pt x="143206" y="145575"/>
                <a:pt x="138010" y="145231"/>
                <a:pt x="122799" y="142189"/>
              </a:cubicBezTo>
              <a:cubicBezTo>
                <a:pt x="119568" y="140035"/>
                <a:pt x="116579" y="137463"/>
                <a:pt x="113105" y="135726"/>
              </a:cubicBezTo>
              <a:cubicBezTo>
                <a:pt x="110058" y="134202"/>
                <a:pt x="106368" y="134184"/>
                <a:pt x="103410" y="132494"/>
              </a:cubicBezTo>
              <a:cubicBezTo>
                <a:pt x="100094" y="130599"/>
                <a:pt x="85795" y="118481"/>
                <a:pt x="80789" y="116336"/>
              </a:cubicBezTo>
              <a:cubicBezTo>
                <a:pt x="76707" y="114587"/>
                <a:pt x="72172" y="114182"/>
                <a:pt x="67863" y="113105"/>
              </a:cubicBezTo>
              <a:cubicBezTo>
                <a:pt x="60187" y="107988"/>
                <a:pt x="52260" y="102963"/>
                <a:pt x="45242" y="96947"/>
              </a:cubicBezTo>
              <a:cubicBezTo>
                <a:pt x="41772" y="93973"/>
                <a:pt x="38235" y="90948"/>
                <a:pt x="35547" y="87252"/>
              </a:cubicBezTo>
              <a:cubicBezTo>
                <a:pt x="29570" y="79034"/>
                <a:pt x="24846" y="69973"/>
                <a:pt x="19390" y="61400"/>
              </a:cubicBezTo>
              <a:cubicBezTo>
                <a:pt x="19343" y="61327"/>
                <a:pt x="6511" y="42083"/>
                <a:pt x="6463" y="42011"/>
              </a:cubicBezTo>
              <a:cubicBezTo>
                <a:pt x="4308" y="38779"/>
                <a:pt x="0" y="36200"/>
                <a:pt x="0" y="32316"/>
              </a:cubicBezTo>
              <a:lnTo>
                <a:pt x="6463" y="0"/>
              </a:lnTo>
              <a:close/>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746488</xdr:colOff>
      <xdr:row>526</xdr:row>
      <xdr:rowOff>6464</xdr:rowOff>
    </xdr:from>
    <xdr:to>
      <xdr:col>1</xdr:col>
      <xdr:colOff>769109</xdr:colOff>
      <xdr:row>526</xdr:row>
      <xdr:rowOff>138957</xdr:rowOff>
    </xdr:to>
    <xdr:sp macro="" textlink="">
      <xdr:nvSpPr>
        <xdr:cNvPr id="114" name="Freeform 113">
          <a:extLst>
            <a:ext uri="{FF2B5EF4-FFF2-40B4-BE49-F238E27FC236}">
              <a16:creationId xmlns:a16="http://schemas.microsoft.com/office/drawing/2014/main" id="{A5D3F155-32E8-1A26-4366-FC4466125169}"/>
            </a:ext>
          </a:extLst>
        </xdr:cNvPr>
        <xdr:cNvSpPr/>
      </xdr:nvSpPr>
      <xdr:spPr>
        <a:xfrm>
          <a:off x="13499573257" y="107672087"/>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668931</xdr:colOff>
      <xdr:row>526</xdr:row>
      <xdr:rowOff>16158</xdr:rowOff>
    </xdr:from>
    <xdr:to>
      <xdr:col>1</xdr:col>
      <xdr:colOff>691552</xdr:colOff>
      <xdr:row>526</xdr:row>
      <xdr:rowOff>148651</xdr:rowOff>
    </xdr:to>
    <xdr:sp macro="" textlink="">
      <xdr:nvSpPr>
        <xdr:cNvPr id="115" name="Freeform 114">
          <a:extLst>
            <a:ext uri="{FF2B5EF4-FFF2-40B4-BE49-F238E27FC236}">
              <a16:creationId xmlns:a16="http://schemas.microsoft.com/office/drawing/2014/main" id="{05C2BB0F-9213-5685-BA07-C14DAACA8257}"/>
            </a:ext>
          </a:extLst>
        </xdr:cNvPr>
        <xdr:cNvSpPr/>
      </xdr:nvSpPr>
      <xdr:spPr>
        <a:xfrm>
          <a:off x="13499650814" y="107681781"/>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578447</xdr:colOff>
      <xdr:row>526</xdr:row>
      <xdr:rowOff>16158</xdr:rowOff>
    </xdr:from>
    <xdr:to>
      <xdr:col>1</xdr:col>
      <xdr:colOff>601068</xdr:colOff>
      <xdr:row>526</xdr:row>
      <xdr:rowOff>148651</xdr:rowOff>
    </xdr:to>
    <xdr:sp macro="" textlink="">
      <xdr:nvSpPr>
        <xdr:cNvPr id="116" name="Freeform 115">
          <a:extLst>
            <a:ext uri="{FF2B5EF4-FFF2-40B4-BE49-F238E27FC236}">
              <a16:creationId xmlns:a16="http://schemas.microsoft.com/office/drawing/2014/main" id="{8E68F0EF-DD91-5997-B931-48380F563701}"/>
            </a:ext>
          </a:extLst>
        </xdr:cNvPr>
        <xdr:cNvSpPr/>
      </xdr:nvSpPr>
      <xdr:spPr>
        <a:xfrm>
          <a:off x="13499741298" y="107681781"/>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491195</xdr:colOff>
      <xdr:row>526</xdr:row>
      <xdr:rowOff>9695</xdr:rowOff>
    </xdr:from>
    <xdr:to>
      <xdr:col>1</xdr:col>
      <xdr:colOff>513816</xdr:colOff>
      <xdr:row>526</xdr:row>
      <xdr:rowOff>142188</xdr:rowOff>
    </xdr:to>
    <xdr:sp macro="" textlink="">
      <xdr:nvSpPr>
        <xdr:cNvPr id="117" name="Freeform 116">
          <a:extLst>
            <a:ext uri="{FF2B5EF4-FFF2-40B4-BE49-F238E27FC236}">
              <a16:creationId xmlns:a16="http://schemas.microsoft.com/office/drawing/2014/main" id="{C7A2EB1A-B325-9EC6-E2EE-180A683921B2}"/>
            </a:ext>
          </a:extLst>
        </xdr:cNvPr>
        <xdr:cNvSpPr/>
      </xdr:nvSpPr>
      <xdr:spPr>
        <a:xfrm>
          <a:off x="13499828550" y="107675318"/>
          <a:ext cx="22621" cy="132493"/>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433028</xdr:colOff>
      <xdr:row>526</xdr:row>
      <xdr:rowOff>18912</xdr:rowOff>
    </xdr:from>
    <xdr:to>
      <xdr:col>2</xdr:col>
      <xdr:colOff>9694</xdr:colOff>
      <xdr:row>526</xdr:row>
      <xdr:rowOff>64631</xdr:rowOff>
    </xdr:to>
    <xdr:sp macro="" textlink="">
      <xdr:nvSpPr>
        <xdr:cNvPr id="118" name="Freeform 117">
          <a:extLst>
            <a:ext uri="{FF2B5EF4-FFF2-40B4-BE49-F238E27FC236}">
              <a16:creationId xmlns:a16="http://schemas.microsoft.com/office/drawing/2014/main" id="{17CAD932-7C55-A825-6076-595299D7BBEA}"/>
            </a:ext>
          </a:extLst>
        </xdr:cNvPr>
        <xdr:cNvSpPr/>
      </xdr:nvSpPr>
      <xdr:spPr>
        <a:xfrm flipH="1">
          <a:off x="13499508626" y="107684535"/>
          <a:ext cx="400712" cy="45719"/>
        </a:xfrm>
        <a:custGeom>
          <a:avLst/>
          <a:gdLst>
            <a:gd name="connsiteX0" fmla="*/ 0 w 22621"/>
            <a:gd name="connsiteY0" fmla="*/ 0 h 132493"/>
            <a:gd name="connsiteX1" fmla="*/ 6463 w 22621"/>
            <a:gd name="connsiteY1" fmla="*/ 42010 h 132493"/>
            <a:gd name="connsiteX2" fmla="*/ 9695 w 22621"/>
            <a:gd name="connsiteY2" fmla="*/ 51704 h 132493"/>
            <a:gd name="connsiteX3" fmla="*/ 12926 w 22621"/>
            <a:gd name="connsiteY3" fmla="*/ 74325 h 132493"/>
            <a:gd name="connsiteX4" fmla="*/ 16158 w 22621"/>
            <a:gd name="connsiteY4" fmla="*/ 90483 h 132493"/>
            <a:gd name="connsiteX5" fmla="*/ 19389 w 22621"/>
            <a:gd name="connsiteY5" fmla="*/ 113104 h 132493"/>
            <a:gd name="connsiteX6" fmla="*/ 22621 w 22621"/>
            <a:gd name="connsiteY6" fmla="*/ 132493 h 13249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621" h="132493">
              <a:moveTo>
                <a:pt x="0" y="0"/>
              </a:moveTo>
              <a:cubicBezTo>
                <a:pt x="2154" y="14003"/>
                <a:pt x="3852" y="28085"/>
                <a:pt x="6463" y="42010"/>
              </a:cubicBezTo>
              <a:cubicBezTo>
                <a:pt x="7091" y="45358"/>
                <a:pt x="9027" y="48364"/>
                <a:pt x="9695" y="51704"/>
              </a:cubicBezTo>
              <a:cubicBezTo>
                <a:pt x="11189" y="59173"/>
                <a:pt x="11674" y="66812"/>
                <a:pt x="12926" y="74325"/>
              </a:cubicBezTo>
              <a:cubicBezTo>
                <a:pt x="13829" y="79743"/>
                <a:pt x="15255" y="85065"/>
                <a:pt x="16158" y="90483"/>
              </a:cubicBezTo>
              <a:cubicBezTo>
                <a:pt x="17410" y="97996"/>
                <a:pt x="18231" y="105576"/>
                <a:pt x="19389" y="113104"/>
              </a:cubicBezTo>
              <a:cubicBezTo>
                <a:pt x="20385" y="119580"/>
                <a:pt x="22621" y="132493"/>
                <a:pt x="22621" y="132493"/>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510585</xdr:colOff>
      <xdr:row>523</xdr:row>
      <xdr:rowOff>171272</xdr:rowOff>
    </xdr:from>
    <xdr:to>
      <xdr:col>1</xdr:col>
      <xdr:colOff>772341</xdr:colOff>
      <xdr:row>524</xdr:row>
      <xdr:rowOff>3231</xdr:rowOff>
    </xdr:to>
    <xdr:sp macro="" textlink="">
      <xdr:nvSpPr>
        <xdr:cNvPr id="119" name="Freeform 118">
          <a:extLst>
            <a:ext uri="{FF2B5EF4-FFF2-40B4-BE49-F238E27FC236}">
              <a16:creationId xmlns:a16="http://schemas.microsoft.com/office/drawing/2014/main" id="{D6ED0714-D21C-135E-22D1-B1659BB55622}"/>
            </a:ext>
          </a:extLst>
        </xdr:cNvPr>
        <xdr:cNvSpPr/>
      </xdr:nvSpPr>
      <xdr:spPr>
        <a:xfrm>
          <a:off x="13499570025" y="107226132"/>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119567</xdr:colOff>
      <xdr:row>524</xdr:row>
      <xdr:rowOff>29083</xdr:rowOff>
    </xdr:from>
    <xdr:to>
      <xdr:col>2</xdr:col>
      <xdr:colOff>381323</xdr:colOff>
      <xdr:row>524</xdr:row>
      <xdr:rowOff>64630</xdr:rowOff>
    </xdr:to>
    <xdr:sp macro="" textlink="">
      <xdr:nvSpPr>
        <xdr:cNvPr id="120" name="Freeform 119">
          <a:extLst>
            <a:ext uri="{FF2B5EF4-FFF2-40B4-BE49-F238E27FC236}">
              <a16:creationId xmlns:a16="http://schemas.microsoft.com/office/drawing/2014/main" id="{E73DB0F3-861B-90C1-F17D-34C39058372E}"/>
            </a:ext>
          </a:extLst>
        </xdr:cNvPr>
        <xdr:cNvSpPr/>
      </xdr:nvSpPr>
      <xdr:spPr>
        <a:xfrm>
          <a:off x="13499136997" y="107287531"/>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109873</xdr:colOff>
      <xdr:row>523</xdr:row>
      <xdr:rowOff>151882</xdr:rowOff>
    </xdr:from>
    <xdr:to>
      <xdr:col>1</xdr:col>
      <xdr:colOff>371629</xdr:colOff>
      <xdr:row>523</xdr:row>
      <xdr:rowOff>187429</xdr:rowOff>
    </xdr:to>
    <xdr:sp macro="" textlink="">
      <xdr:nvSpPr>
        <xdr:cNvPr id="121" name="Freeform 120">
          <a:extLst>
            <a:ext uri="{FF2B5EF4-FFF2-40B4-BE49-F238E27FC236}">
              <a16:creationId xmlns:a16="http://schemas.microsoft.com/office/drawing/2014/main" id="{941724E9-ED7B-B34F-1535-1DDAFF8EE308}"/>
            </a:ext>
          </a:extLst>
        </xdr:cNvPr>
        <xdr:cNvSpPr/>
      </xdr:nvSpPr>
      <xdr:spPr>
        <a:xfrm>
          <a:off x="13499970737" y="107206742"/>
          <a:ext cx="261756" cy="35547"/>
        </a:xfrm>
        <a:custGeom>
          <a:avLst/>
          <a:gdLst>
            <a:gd name="connsiteX0" fmla="*/ 0 w 261756"/>
            <a:gd name="connsiteY0" fmla="*/ 35547 h 35547"/>
            <a:gd name="connsiteX1" fmla="*/ 25853 w 261756"/>
            <a:gd name="connsiteY1" fmla="*/ 22621 h 35547"/>
            <a:gd name="connsiteX2" fmla="*/ 38779 w 261756"/>
            <a:gd name="connsiteY2" fmla="*/ 16158 h 35547"/>
            <a:gd name="connsiteX3" fmla="*/ 58168 w 261756"/>
            <a:gd name="connsiteY3" fmla="*/ 12927 h 35547"/>
            <a:gd name="connsiteX4" fmla="*/ 87252 w 261756"/>
            <a:gd name="connsiteY4" fmla="*/ 6463 h 35547"/>
            <a:gd name="connsiteX5" fmla="*/ 122799 w 261756"/>
            <a:gd name="connsiteY5" fmla="*/ 0 h 35547"/>
            <a:gd name="connsiteX6" fmla="*/ 216514 w 261756"/>
            <a:gd name="connsiteY6" fmla="*/ 3232 h 35547"/>
            <a:gd name="connsiteX7" fmla="*/ 226209 w 261756"/>
            <a:gd name="connsiteY7" fmla="*/ 9695 h 35547"/>
            <a:gd name="connsiteX8" fmla="*/ 248830 w 261756"/>
            <a:gd name="connsiteY8" fmla="*/ 16158 h 35547"/>
            <a:gd name="connsiteX9" fmla="*/ 261756 w 261756"/>
            <a:gd name="connsiteY9" fmla="*/ 29084 h 3554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261756" h="35547">
              <a:moveTo>
                <a:pt x="0" y="35547"/>
              </a:moveTo>
              <a:cubicBezTo>
                <a:pt x="35116" y="14479"/>
                <a:pt x="1502" y="33058"/>
                <a:pt x="25853" y="22621"/>
              </a:cubicBezTo>
              <a:cubicBezTo>
                <a:pt x="30281" y="20723"/>
                <a:pt x="34165" y="17542"/>
                <a:pt x="38779" y="16158"/>
              </a:cubicBezTo>
              <a:cubicBezTo>
                <a:pt x="45055" y="14275"/>
                <a:pt x="51705" y="14004"/>
                <a:pt x="58168" y="12927"/>
              </a:cubicBezTo>
              <a:cubicBezTo>
                <a:pt x="75259" y="7229"/>
                <a:pt x="62233" y="11012"/>
                <a:pt x="87252" y="6463"/>
              </a:cubicBezTo>
              <a:cubicBezTo>
                <a:pt x="136934" y="-2570"/>
                <a:pt x="65666" y="9524"/>
                <a:pt x="122799" y="0"/>
              </a:cubicBezTo>
              <a:cubicBezTo>
                <a:pt x="154037" y="1077"/>
                <a:pt x="185394" y="314"/>
                <a:pt x="216514" y="3232"/>
              </a:cubicBezTo>
              <a:cubicBezTo>
                <a:pt x="220381" y="3595"/>
                <a:pt x="222735" y="7958"/>
                <a:pt x="226209" y="9695"/>
              </a:cubicBezTo>
              <a:cubicBezTo>
                <a:pt x="230848" y="12015"/>
                <a:pt x="244683" y="15122"/>
                <a:pt x="248830" y="16158"/>
              </a:cubicBezTo>
              <a:cubicBezTo>
                <a:pt x="260529" y="23957"/>
                <a:pt x="256788" y="19147"/>
                <a:pt x="261756" y="29084"/>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777208</xdr:colOff>
      <xdr:row>521</xdr:row>
      <xdr:rowOff>168041</xdr:rowOff>
    </xdr:from>
    <xdr:to>
      <xdr:col>2</xdr:col>
      <xdr:colOff>459785</xdr:colOff>
      <xdr:row>525</xdr:row>
      <xdr:rowOff>94300</xdr:rowOff>
    </xdr:to>
    <xdr:sp macro="" textlink="">
      <xdr:nvSpPr>
        <xdr:cNvPr id="122" name="Freeform 121">
          <a:extLst>
            <a:ext uri="{FF2B5EF4-FFF2-40B4-BE49-F238E27FC236}">
              <a16:creationId xmlns:a16="http://schemas.microsoft.com/office/drawing/2014/main" id="{2F61163D-C151-2FD4-8961-2ADABC8EEACD}"/>
            </a:ext>
          </a:extLst>
        </xdr:cNvPr>
        <xdr:cNvSpPr/>
      </xdr:nvSpPr>
      <xdr:spPr>
        <a:xfrm>
          <a:off x="13499058535" y="106815725"/>
          <a:ext cx="1330669" cy="740611"/>
        </a:xfrm>
        <a:custGeom>
          <a:avLst/>
          <a:gdLst>
            <a:gd name="connsiteX0" fmla="*/ 433933 w 1330669"/>
            <a:gd name="connsiteY0" fmla="*/ 148652 h 740611"/>
            <a:gd name="connsiteX1" fmla="*/ 346681 w 1330669"/>
            <a:gd name="connsiteY1" fmla="*/ 197125 h 740611"/>
            <a:gd name="connsiteX2" fmla="*/ 311134 w 1330669"/>
            <a:gd name="connsiteY2" fmla="*/ 222977 h 740611"/>
            <a:gd name="connsiteX3" fmla="*/ 291745 w 1330669"/>
            <a:gd name="connsiteY3" fmla="*/ 248830 h 740611"/>
            <a:gd name="connsiteX4" fmla="*/ 269124 w 1330669"/>
            <a:gd name="connsiteY4" fmla="*/ 294071 h 740611"/>
            <a:gd name="connsiteX5" fmla="*/ 262661 w 1330669"/>
            <a:gd name="connsiteY5" fmla="*/ 468575 h 740611"/>
            <a:gd name="connsiteX6" fmla="*/ 256198 w 1330669"/>
            <a:gd name="connsiteY6" fmla="*/ 513817 h 740611"/>
            <a:gd name="connsiteX7" fmla="*/ 252966 w 1330669"/>
            <a:gd name="connsiteY7" fmla="*/ 549364 h 740611"/>
            <a:gd name="connsiteX8" fmla="*/ 256198 w 1330669"/>
            <a:gd name="connsiteY8" fmla="*/ 604300 h 740611"/>
            <a:gd name="connsiteX9" fmla="*/ 259429 w 1330669"/>
            <a:gd name="connsiteY9" fmla="*/ 588143 h 740611"/>
            <a:gd name="connsiteX10" fmla="*/ 256198 w 1330669"/>
            <a:gd name="connsiteY10" fmla="*/ 494428 h 740611"/>
            <a:gd name="connsiteX11" fmla="*/ 272356 w 1330669"/>
            <a:gd name="connsiteY11" fmla="*/ 368397 h 740611"/>
            <a:gd name="connsiteX12" fmla="*/ 278819 w 1330669"/>
            <a:gd name="connsiteY12" fmla="*/ 332850 h 740611"/>
            <a:gd name="connsiteX13" fmla="*/ 291745 w 1330669"/>
            <a:gd name="connsiteY13" fmla="*/ 297303 h 740611"/>
            <a:gd name="connsiteX14" fmla="*/ 301440 w 1330669"/>
            <a:gd name="connsiteY14" fmla="*/ 290840 h 740611"/>
            <a:gd name="connsiteX15" fmla="*/ 304671 w 1330669"/>
            <a:gd name="connsiteY15" fmla="*/ 303766 h 740611"/>
            <a:gd name="connsiteX16" fmla="*/ 294976 w 1330669"/>
            <a:gd name="connsiteY16" fmla="*/ 361934 h 740611"/>
            <a:gd name="connsiteX17" fmla="*/ 269124 w 1330669"/>
            <a:gd name="connsiteY17" fmla="*/ 439491 h 740611"/>
            <a:gd name="connsiteX18" fmla="*/ 243272 w 1330669"/>
            <a:gd name="connsiteY18" fmla="*/ 504122 h 740611"/>
            <a:gd name="connsiteX19" fmla="*/ 185104 w 1330669"/>
            <a:gd name="connsiteY19" fmla="*/ 584911 h 740611"/>
            <a:gd name="connsiteX20" fmla="*/ 175409 w 1330669"/>
            <a:gd name="connsiteY20" fmla="*/ 588143 h 740611"/>
            <a:gd name="connsiteX21" fmla="*/ 168946 w 1330669"/>
            <a:gd name="connsiteY21" fmla="*/ 562290 h 740611"/>
            <a:gd name="connsiteX22" fmla="*/ 191567 w 1330669"/>
            <a:gd name="connsiteY22" fmla="*/ 371629 h 740611"/>
            <a:gd name="connsiteX23" fmla="*/ 207725 w 1330669"/>
            <a:gd name="connsiteY23" fmla="*/ 316692 h 740611"/>
            <a:gd name="connsiteX24" fmla="*/ 214188 w 1330669"/>
            <a:gd name="connsiteY24" fmla="*/ 306998 h 740611"/>
            <a:gd name="connsiteX25" fmla="*/ 223882 w 1330669"/>
            <a:gd name="connsiteY25" fmla="*/ 310229 h 740611"/>
            <a:gd name="connsiteX26" fmla="*/ 227114 w 1330669"/>
            <a:gd name="connsiteY26" fmla="*/ 319924 h 740611"/>
            <a:gd name="connsiteX27" fmla="*/ 230345 w 1330669"/>
            <a:gd name="connsiteY27" fmla="*/ 336082 h 740611"/>
            <a:gd name="connsiteX28" fmla="*/ 223882 w 1330669"/>
            <a:gd name="connsiteY28" fmla="*/ 416870 h 740611"/>
            <a:gd name="connsiteX29" fmla="*/ 217419 w 1330669"/>
            <a:gd name="connsiteY29" fmla="*/ 426565 h 740611"/>
            <a:gd name="connsiteX30" fmla="*/ 207725 w 1330669"/>
            <a:gd name="connsiteY30" fmla="*/ 429797 h 740611"/>
            <a:gd name="connsiteX31" fmla="*/ 198030 w 1330669"/>
            <a:gd name="connsiteY31" fmla="*/ 407176 h 740611"/>
            <a:gd name="connsiteX32" fmla="*/ 201261 w 1330669"/>
            <a:gd name="connsiteY32" fmla="*/ 319924 h 740611"/>
            <a:gd name="connsiteX33" fmla="*/ 217419 w 1330669"/>
            <a:gd name="connsiteY33" fmla="*/ 264987 h 740611"/>
            <a:gd name="connsiteX34" fmla="*/ 249735 w 1330669"/>
            <a:gd name="connsiteY34" fmla="*/ 216514 h 740611"/>
            <a:gd name="connsiteX35" fmla="*/ 333755 w 1330669"/>
            <a:gd name="connsiteY35" fmla="*/ 158346 h 740611"/>
            <a:gd name="connsiteX36" fmla="*/ 369302 w 1330669"/>
            <a:gd name="connsiteY36" fmla="*/ 155115 h 740611"/>
            <a:gd name="connsiteX37" fmla="*/ 398386 w 1330669"/>
            <a:gd name="connsiteY37" fmla="*/ 161578 h 740611"/>
            <a:gd name="connsiteX38" fmla="*/ 417775 w 1330669"/>
            <a:gd name="connsiteY38" fmla="*/ 200356 h 740611"/>
            <a:gd name="connsiteX39" fmla="*/ 404849 w 1330669"/>
            <a:gd name="connsiteY39" fmla="*/ 235903 h 740611"/>
            <a:gd name="connsiteX40" fmla="*/ 385460 w 1330669"/>
            <a:gd name="connsiteY40" fmla="*/ 239135 h 740611"/>
            <a:gd name="connsiteX41" fmla="*/ 369302 w 1330669"/>
            <a:gd name="connsiteY41" fmla="*/ 235903 h 740611"/>
            <a:gd name="connsiteX42" fmla="*/ 359607 w 1330669"/>
            <a:gd name="connsiteY42" fmla="*/ 222977 h 740611"/>
            <a:gd name="connsiteX43" fmla="*/ 388691 w 1330669"/>
            <a:gd name="connsiteY43" fmla="*/ 126031 h 740611"/>
            <a:gd name="connsiteX44" fmla="*/ 404849 w 1330669"/>
            <a:gd name="connsiteY44" fmla="*/ 122799 h 740611"/>
            <a:gd name="connsiteX45" fmla="*/ 414544 w 1330669"/>
            <a:gd name="connsiteY45" fmla="*/ 126031 h 740611"/>
            <a:gd name="connsiteX46" fmla="*/ 427470 w 1330669"/>
            <a:gd name="connsiteY46" fmla="*/ 148652 h 740611"/>
            <a:gd name="connsiteX47" fmla="*/ 421007 w 1330669"/>
            <a:gd name="connsiteY47" fmla="*/ 164809 h 740611"/>
            <a:gd name="connsiteX48" fmla="*/ 401618 w 1330669"/>
            <a:gd name="connsiteY48" fmla="*/ 145420 h 740611"/>
            <a:gd name="connsiteX49" fmla="*/ 404849 w 1330669"/>
            <a:gd name="connsiteY49" fmla="*/ 122799 h 740611"/>
            <a:gd name="connsiteX50" fmla="*/ 421007 w 1330669"/>
            <a:gd name="connsiteY50" fmla="*/ 126031 h 740611"/>
            <a:gd name="connsiteX51" fmla="*/ 401618 w 1330669"/>
            <a:gd name="connsiteY51" fmla="*/ 145420 h 740611"/>
            <a:gd name="connsiteX52" fmla="*/ 388691 w 1330669"/>
            <a:gd name="connsiteY52" fmla="*/ 138957 h 740611"/>
            <a:gd name="connsiteX53" fmla="*/ 375765 w 1330669"/>
            <a:gd name="connsiteY53" fmla="*/ 116336 h 740611"/>
            <a:gd name="connsiteX54" fmla="*/ 378997 w 1330669"/>
            <a:gd name="connsiteY54" fmla="*/ 100178 h 740611"/>
            <a:gd name="connsiteX55" fmla="*/ 437165 w 1330669"/>
            <a:gd name="connsiteY55" fmla="*/ 116336 h 740611"/>
            <a:gd name="connsiteX56" fmla="*/ 443628 w 1330669"/>
            <a:gd name="connsiteY56" fmla="*/ 132494 h 740611"/>
            <a:gd name="connsiteX57" fmla="*/ 404849 w 1330669"/>
            <a:gd name="connsiteY57" fmla="*/ 142188 h 740611"/>
            <a:gd name="connsiteX58" fmla="*/ 388691 w 1330669"/>
            <a:gd name="connsiteY58" fmla="*/ 138957 h 740611"/>
            <a:gd name="connsiteX59" fmla="*/ 375765 w 1330669"/>
            <a:gd name="connsiteY59" fmla="*/ 113105 h 740611"/>
            <a:gd name="connsiteX60" fmla="*/ 382228 w 1330669"/>
            <a:gd name="connsiteY60" fmla="*/ 90484 h 740611"/>
            <a:gd name="connsiteX61" fmla="*/ 424239 w 1330669"/>
            <a:gd name="connsiteY61" fmla="*/ 74326 h 740611"/>
            <a:gd name="connsiteX62" fmla="*/ 498564 w 1330669"/>
            <a:gd name="connsiteY62" fmla="*/ 77557 h 740611"/>
            <a:gd name="connsiteX63" fmla="*/ 556732 w 1330669"/>
            <a:gd name="connsiteY63" fmla="*/ 106641 h 740611"/>
            <a:gd name="connsiteX64" fmla="*/ 569658 w 1330669"/>
            <a:gd name="connsiteY64" fmla="*/ 122799 h 740611"/>
            <a:gd name="connsiteX65" fmla="*/ 569658 w 1330669"/>
            <a:gd name="connsiteY65" fmla="*/ 148652 h 740611"/>
            <a:gd name="connsiteX66" fmla="*/ 559964 w 1330669"/>
            <a:gd name="connsiteY66" fmla="*/ 151883 h 740611"/>
            <a:gd name="connsiteX67" fmla="*/ 547038 w 1330669"/>
            <a:gd name="connsiteY67" fmla="*/ 148652 h 740611"/>
            <a:gd name="connsiteX68" fmla="*/ 530880 w 1330669"/>
            <a:gd name="connsiteY68" fmla="*/ 106641 h 740611"/>
            <a:gd name="connsiteX69" fmla="*/ 527648 w 1330669"/>
            <a:gd name="connsiteY69" fmla="*/ 77557 h 740611"/>
            <a:gd name="connsiteX70" fmla="*/ 563195 w 1330669"/>
            <a:gd name="connsiteY70" fmla="*/ 22621 h 740611"/>
            <a:gd name="connsiteX71" fmla="*/ 595511 w 1330669"/>
            <a:gd name="connsiteY71" fmla="*/ 12926 h 740611"/>
            <a:gd name="connsiteX72" fmla="*/ 663373 w 1330669"/>
            <a:gd name="connsiteY72" fmla="*/ 25853 h 740611"/>
            <a:gd name="connsiteX73" fmla="*/ 679531 w 1330669"/>
            <a:gd name="connsiteY73" fmla="*/ 42010 h 740611"/>
            <a:gd name="connsiteX74" fmla="*/ 689226 w 1330669"/>
            <a:gd name="connsiteY74" fmla="*/ 67863 h 740611"/>
            <a:gd name="connsiteX75" fmla="*/ 679531 w 1330669"/>
            <a:gd name="connsiteY75" fmla="*/ 74326 h 740611"/>
            <a:gd name="connsiteX76" fmla="*/ 643984 w 1330669"/>
            <a:gd name="connsiteY76" fmla="*/ 61400 h 740611"/>
            <a:gd name="connsiteX77" fmla="*/ 634289 w 1330669"/>
            <a:gd name="connsiteY77" fmla="*/ 45242 h 740611"/>
            <a:gd name="connsiteX78" fmla="*/ 634289 w 1330669"/>
            <a:gd name="connsiteY78" fmla="*/ 3232 h 740611"/>
            <a:gd name="connsiteX79" fmla="*/ 647216 w 1330669"/>
            <a:gd name="connsiteY79" fmla="*/ 0 h 740611"/>
            <a:gd name="connsiteX80" fmla="*/ 682763 w 1330669"/>
            <a:gd name="connsiteY80" fmla="*/ 12926 h 740611"/>
            <a:gd name="connsiteX81" fmla="*/ 698920 w 1330669"/>
            <a:gd name="connsiteY81" fmla="*/ 67863 h 740611"/>
            <a:gd name="connsiteX82" fmla="*/ 689226 w 1330669"/>
            <a:gd name="connsiteY82" fmla="*/ 96947 h 740611"/>
            <a:gd name="connsiteX83" fmla="*/ 647216 w 1330669"/>
            <a:gd name="connsiteY83" fmla="*/ 119568 h 740611"/>
            <a:gd name="connsiteX84" fmla="*/ 631058 w 1330669"/>
            <a:gd name="connsiteY84" fmla="*/ 116336 h 740611"/>
            <a:gd name="connsiteX85" fmla="*/ 637521 w 1330669"/>
            <a:gd name="connsiteY85" fmla="*/ 77557 h 740611"/>
            <a:gd name="connsiteX86" fmla="*/ 676300 w 1330669"/>
            <a:gd name="connsiteY86" fmla="*/ 67863 h 740611"/>
            <a:gd name="connsiteX87" fmla="*/ 711847 w 1330669"/>
            <a:gd name="connsiteY87" fmla="*/ 84021 h 740611"/>
            <a:gd name="connsiteX88" fmla="*/ 718310 w 1330669"/>
            <a:gd name="connsiteY88" fmla="*/ 100178 h 740611"/>
            <a:gd name="connsiteX89" fmla="*/ 721541 w 1330669"/>
            <a:gd name="connsiteY89" fmla="*/ 116336 h 740611"/>
            <a:gd name="connsiteX90" fmla="*/ 718310 w 1330669"/>
            <a:gd name="connsiteY90" fmla="*/ 126031 h 740611"/>
            <a:gd name="connsiteX91" fmla="*/ 692457 w 1330669"/>
            <a:gd name="connsiteY91" fmla="*/ 135725 h 740611"/>
            <a:gd name="connsiteX92" fmla="*/ 682763 w 1330669"/>
            <a:gd name="connsiteY92" fmla="*/ 126031 h 740611"/>
            <a:gd name="connsiteX93" fmla="*/ 685994 w 1330669"/>
            <a:gd name="connsiteY93" fmla="*/ 58168 h 740611"/>
            <a:gd name="connsiteX94" fmla="*/ 734468 w 1330669"/>
            <a:gd name="connsiteY94" fmla="*/ 29084 h 740611"/>
            <a:gd name="connsiteX95" fmla="*/ 870193 w 1330669"/>
            <a:gd name="connsiteY95" fmla="*/ 6463 h 740611"/>
            <a:gd name="connsiteX96" fmla="*/ 954213 w 1330669"/>
            <a:gd name="connsiteY96" fmla="*/ 25853 h 740611"/>
            <a:gd name="connsiteX97" fmla="*/ 963908 w 1330669"/>
            <a:gd name="connsiteY97" fmla="*/ 48473 h 740611"/>
            <a:gd name="connsiteX98" fmla="*/ 925129 w 1330669"/>
            <a:gd name="connsiteY98" fmla="*/ 87252 h 740611"/>
            <a:gd name="connsiteX99" fmla="*/ 908971 w 1330669"/>
            <a:gd name="connsiteY99" fmla="*/ 80789 h 740611"/>
            <a:gd name="connsiteX100" fmla="*/ 896045 w 1330669"/>
            <a:gd name="connsiteY100" fmla="*/ 61400 h 740611"/>
            <a:gd name="connsiteX101" fmla="*/ 899277 w 1330669"/>
            <a:gd name="connsiteY101" fmla="*/ 19390 h 740611"/>
            <a:gd name="connsiteX102" fmla="*/ 915434 w 1330669"/>
            <a:gd name="connsiteY102" fmla="*/ 9695 h 740611"/>
            <a:gd name="connsiteX103" fmla="*/ 986529 w 1330669"/>
            <a:gd name="connsiteY103" fmla="*/ 38779 h 740611"/>
            <a:gd name="connsiteX104" fmla="*/ 996223 w 1330669"/>
            <a:gd name="connsiteY104" fmla="*/ 67863 h 740611"/>
            <a:gd name="connsiteX105" fmla="*/ 992992 w 1330669"/>
            <a:gd name="connsiteY105" fmla="*/ 132494 h 740611"/>
            <a:gd name="connsiteX106" fmla="*/ 970371 w 1330669"/>
            <a:gd name="connsiteY106" fmla="*/ 142188 h 740611"/>
            <a:gd name="connsiteX107" fmla="*/ 941287 w 1330669"/>
            <a:gd name="connsiteY107" fmla="*/ 138957 h 740611"/>
            <a:gd name="connsiteX108" fmla="*/ 899277 w 1330669"/>
            <a:gd name="connsiteY108" fmla="*/ 103410 h 740611"/>
            <a:gd name="connsiteX109" fmla="*/ 896045 w 1330669"/>
            <a:gd name="connsiteY109" fmla="*/ 87252 h 740611"/>
            <a:gd name="connsiteX110" fmla="*/ 899277 w 1330669"/>
            <a:gd name="connsiteY110" fmla="*/ 71094 h 740611"/>
            <a:gd name="connsiteX111" fmla="*/ 908971 w 1330669"/>
            <a:gd name="connsiteY111" fmla="*/ 87252 h 740611"/>
            <a:gd name="connsiteX112" fmla="*/ 899277 w 1330669"/>
            <a:gd name="connsiteY112" fmla="*/ 126031 h 740611"/>
            <a:gd name="connsiteX113" fmla="*/ 808793 w 1330669"/>
            <a:gd name="connsiteY113" fmla="*/ 126031 h 740611"/>
            <a:gd name="connsiteX114" fmla="*/ 773246 w 1330669"/>
            <a:gd name="connsiteY114" fmla="*/ 90484 h 740611"/>
            <a:gd name="connsiteX115" fmla="*/ 766783 w 1330669"/>
            <a:gd name="connsiteY115" fmla="*/ 77557 h 740611"/>
            <a:gd name="connsiteX116" fmla="*/ 795867 w 1330669"/>
            <a:gd name="connsiteY116" fmla="*/ 87252 h 740611"/>
            <a:gd name="connsiteX117" fmla="*/ 850803 w 1330669"/>
            <a:gd name="connsiteY117" fmla="*/ 164809 h 740611"/>
            <a:gd name="connsiteX118" fmla="*/ 870193 w 1330669"/>
            <a:gd name="connsiteY118" fmla="*/ 213283 h 740611"/>
            <a:gd name="connsiteX119" fmla="*/ 873424 w 1330669"/>
            <a:gd name="connsiteY119" fmla="*/ 252061 h 740611"/>
            <a:gd name="connsiteX120" fmla="*/ 828183 w 1330669"/>
            <a:gd name="connsiteY120" fmla="*/ 287608 h 740611"/>
            <a:gd name="connsiteX121" fmla="*/ 782941 w 1330669"/>
            <a:gd name="connsiteY121" fmla="*/ 281145 h 740611"/>
            <a:gd name="connsiteX122" fmla="*/ 779709 w 1330669"/>
            <a:gd name="connsiteY122" fmla="*/ 268219 h 740611"/>
            <a:gd name="connsiteX123" fmla="*/ 795867 w 1330669"/>
            <a:gd name="connsiteY123" fmla="*/ 242367 h 740611"/>
            <a:gd name="connsiteX124" fmla="*/ 824951 w 1330669"/>
            <a:gd name="connsiteY124" fmla="*/ 248830 h 740611"/>
            <a:gd name="connsiteX125" fmla="*/ 883119 w 1330669"/>
            <a:gd name="connsiteY125" fmla="*/ 284377 h 740611"/>
            <a:gd name="connsiteX126" fmla="*/ 899277 w 1330669"/>
            <a:gd name="connsiteY126" fmla="*/ 303766 h 740611"/>
            <a:gd name="connsiteX127" fmla="*/ 905740 w 1330669"/>
            <a:gd name="connsiteY127" fmla="*/ 319924 h 740611"/>
            <a:gd name="connsiteX128" fmla="*/ 908971 w 1330669"/>
            <a:gd name="connsiteY128" fmla="*/ 329619 h 740611"/>
            <a:gd name="connsiteX129" fmla="*/ 892814 w 1330669"/>
            <a:gd name="connsiteY129" fmla="*/ 332850 h 740611"/>
            <a:gd name="connsiteX130" fmla="*/ 886350 w 1330669"/>
            <a:gd name="connsiteY130" fmla="*/ 313461 h 740611"/>
            <a:gd name="connsiteX131" fmla="*/ 892814 w 1330669"/>
            <a:gd name="connsiteY131" fmla="*/ 303766 h 740611"/>
            <a:gd name="connsiteX132" fmla="*/ 944518 w 1330669"/>
            <a:gd name="connsiteY132" fmla="*/ 316692 h 740611"/>
            <a:gd name="connsiteX133" fmla="*/ 970371 w 1330669"/>
            <a:gd name="connsiteY133" fmla="*/ 342545 h 740611"/>
            <a:gd name="connsiteX134" fmla="*/ 967139 w 1330669"/>
            <a:gd name="connsiteY134" fmla="*/ 332850 h 740611"/>
            <a:gd name="connsiteX135" fmla="*/ 963908 w 1330669"/>
            <a:gd name="connsiteY135" fmla="*/ 313461 h 740611"/>
            <a:gd name="connsiteX136" fmla="*/ 973602 w 1330669"/>
            <a:gd name="connsiteY136" fmla="*/ 316692 h 740611"/>
            <a:gd name="connsiteX137" fmla="*/ 980066 w 1330669"/>
            <a:gd name="connsiteY137" fmla="*/ 336082 h 740611"/>
            <a:gd name="connsiteX138" fmla="*/ 973602 w 1330669"/>
            <a:gd name="connsiteY138" fmla="*/ 329619 h 740611"/>
            <a:gd name="connsiteX139" fmla="*/ 986529 w 1330669"/>
            <a:gd name="connsiteY139" fmla="*/ 368397 h 740611"/>
            <a:gd name="connsiteX140" fmla="*/ 989760 w 1330669"/>
            <a:gd name="connsiteY140" fmla="*/ 384555 h 740611"/>
            <a:gd name="connsiteX141" fmla="*/ 980066 w 1330669"/>
            <a:gd name="connsiteY141" fmla="*/ 381323 h 740611"/>
            <a:gd name="connsiteX142" fmla="*/ 973602 w 1330669"/>
            <a:gd name="connsiteY142" fmla="*/ 368397 h 740611"/>
            <a:gd name="connsiteX143" fmla="*/ 970371 w 1330669"/>
            <a:gd name="connsiteY143" fmla="*/ 355471 h 740611"/>
            <a:gd name="connsiteX144" fmla="*/ 980066 w 1330669"/>
            <a:gd name="connsiteY144" fmla="*/ 365166 h 740611"/>
            <a:gd name="connsiteX145" fmla="*/ 989760 w 1330669"/>
            <a:gd name="connsiteY145" fmla="*/ 400713 h 740611"/>
            <a:gd name="connsiteX146" fmla="*/ 992992 w 1330669"/>
            <a:gd name="connsiteY146" fmla="*/ 413639 h 740611"/>
            <a:gd name="connsiteX147" fmla="*/ 1041465 w 1330669"/>
            <a:gd name="connsiteY147" fmla="*/ 420102 h 740611"/>
            <a:gd name="connsiteX148" fmla="*/ 1057623 w 1330669"/>
            <a:gd name="connsiteY148" fmla="*/ 423334 h 740611"/>
            <a:gd name="connsiteX149" fmla="*/ 1054391 w 1330669"/>
            <a:gd name="connsiteY149" fmla="*/ 413639 h 740611"/>
            <a:gd name="connsiteX150" fmla="*/ 996223 w 1330669"/>
            <a:gd name="connsiteY150" fmla="*/ 374860 h 740611"/>
            <a:gd name="connsiteX151" fmla="*/ 963908 w 1330669"/>
            <a:gd name="connsiteY151" fmla="*/ 355471 h 740611"/>
            <a:gd name="connsiteX152" fmla="*/ 938055 w 1330669"/>
            <a:gd name="connsiteY152" fmla="*/ 342545 h 740611"/>
            <a:gd name="connsiteX153" fmla="*/ 915434 w 1330669"/>
            <a:gd name="connsiteY153" fmla="*/ 329619 h 740611"/>
            <a:gd name="connsiteX154" fmla="*/ 866961 w 1330669"/>
            <a:gd name="connsiteY154" fmla="*/ 306998 h 740611"/>
            <a:gd name="connsiteX155" fmla="*/ 854035 w 1330669"/>
            <a:gd name="connsiteY155" fmla="*/ 300535 h 740611"/>
            <a:gd name="connsiteX156" fmla="*/ 844340 w 1330669"/>
            <a:gd name="connsiteY156" fmla="*/ 297303 h 740611"/>
            <a:gd name="connsiteX157" fmla="*/ 892814 w 1330669"/>
            <a:gd name="connsiteY157" fmla="*/ 323155 h 740611"/>
            <a:gd name="connsiteX158" fmla="*/ 915434 w 1330669"/>
            <a:gd name="connsiteY158" fmla="*/ 329619 h 740611"/>
            <a:gd name="connsiteX159" fmla="*/ 960676 w 1330669"/>
            <a:gd name="connsiteY159" fmla="*/ 332850 h 740611"/>
            <a:gd name="connsiteX160" fmla="*/ 992992 w 1330669"/>
            <a:gd name="connsiteY160" fmla="*/ 336082 h 740611"/>
            <a:gd name="connsiteX161" fmla="*/ 1083475 w 1330669"/>
            <a:gd name="connsiteY161" fmla="*/ 332850 h 740611"/>
            <a:gd name="connsiteX162" fmla="*/ 1102864 w 1330669"/>
            <a:gd name="connsiteY162" fmla="*/ 329619 h 740611"/>
            <a:gd name="connsiteX163" fmla="*/ 1128717 w 1330669"/>
            <a:gd name="connsiteY163" fmla="*/ 316692 h 740611"/>
            <a:gd name="connsiteX164" fmla="*/ 1144875 w 1330669"/>
            <a:gd name="connsiteY164" fmla="*/ 313461 h 740611"/>
            <a:gd name="connsiteX165" fmla="*/ 1148106 w 1330669"/>
            <a:gd name="connsiteY165" fmla="*/ 303766 h 740611"/>
            <a:gd name="connsiteX166" fmla="*/ 1131948 w 1330669"/>
            <a:gd name="connsiteY166" fmla="*/ 306998 h 740611"/>
            <a:gd name="connsiteX167" fmla="*/ 1122254 w 1330669"/>
            <a:gd name="connsiteY167" fmla="*/ 294071 h 740611"/>
            <a:gd name="connsiteX168" fmla="*/ 1044697 w 1330669"/>
            <a:gd name="connsiteY168" fmla="*/ 245598 h 740611"/>
            <a:gd name="connsiteX169" fmla="*/ 1015613 w 1330669"/>
            <a:gd name="connsiteY169" fmla="*/ 222977 h 740611"/>
            <a:gd name="connsiteX170" fmla="*/ 1018844 w 1330669"/>
            <a:gd name="connsiteY170" fmla="*/ 239135 h 740611"/>
            <a:gd name="connsiteX171" fmla="*/ 1028539 w 1330669"/>
            <a:gd name="connsiteY171" fmla="*/ 261756 h 740611"/>
            <a:gd name="connsiteX172" fmla="*/ 1035002 w 1330669"/>
            <a:gd name="connsiteY172" fmla="*/ 281145 h 740611"/>
            <a:gd name="connsiteX173" fmla="*/ 1038233 w 1330669"/>
            <a:gd name="connsiteY173" fmla="*/ 300535 h 740611"/>
            <a:gd name="connsiteX174" fmla="*/ 1041465 w 1330669"/>
            <a:gd name="connsiteY174" fmla="*/ 313461 h 740611"/>
            <a:gd name="connsiteX175" fmla="*/ 1022076 w 1330669"/>
            <a:gd name="connsiteY175" fmla="*/ 290840 h 740611"/>
            <a:gd name="connsiteX176" fmla="*/ 996223 w 1330669"/>
            <a:gd name="connsiteY176" fmla="*/ 242367 h 740611"/>
            <a:gd name="connsiteX177" fmla="*/ 992992 w 1330669"/>
            <a:gd name="connsiteY177" fmla="*/ 258524 h 740611"/>
            <a:gd name="connsiteX178" fmla="*/ 1009149 w 1330669"/>
            <a:gd name="connsiteY178" fmla="*/ 284377 h 740611"/>
            <a:gd name="connsiteX179" fmla="*/ 1028539 w 1330669"/>
            <a:gd name="connsiteY179" fmla="*/ 326387 h 740611"/>
            <a:gd name="connsiteX180" fmla="*/ 1041465 w 1330669"/>
            <a:gd name="connsiteY180" fmla="*/ 365166 h 740611"/>
            <a:gd name="connsiteX181" fmla="*/ 1012381 w 1330669"/>
            <a:gd name="connsiteY181" fmla="*/ 358702 h 740611"/>
            <a:gd name="connsiteX182" fmla="*/ 766783 w 1330669"/>
            <a:gd name="connsiteY182" fmla="*/ 151883 h 740611"/>
            <a:gd name="connsiteX183" fmla="*/ 721541 w 1330669"/>
            <a:gd name="connsiteY183" fmla="*/ 106641 h 740611"/>
            <a:gd name="connsiteX184" fmla="*/ 695689 w 1330669"/>
            <a:gd name="connsiteY184" fmla="*/ 71094 h 740611"/>
            <a:gd name="connsiteX185" fmla="*/ 734468 w 1330669"/>
            <a:gd name="connsiteY185" fmla="*/ 93715 h 740611"/>
            <a:gd name="connsiteX186" fmla="*/ 863730 w 1330669"/>
            <a:gd name="connsiteY186" fmla="*/ 203588 h 740611"/>
            <a:gd name="connsiteX187" fmla="*/ 947750 w 1330669"/>
            <a:gd name="connsiteY187" fmla="*/ 294071 h 740611"/>
            <a:gd name="connsiteX188" fmla="*/ 980066 w 1330669"/>
            <a:gd name="connsiteY188" fmla="*/ 336082 h 740611"/>
            <a:gd name="connsiteX189" fmla="*/ 970371 w 1330669"/>
            <a:gd name="connsiteY189" fmla="*/ 310229 h 740611"/>
            <a:gd name="connsiteX190" fmla="*/ 957445 w 1330669"/>
            <a:gd name="connsiteY190" fmla="*/ 284377 h 740611"/>
            <a:gd name="connsiteX191" fmla="*/ 950982 w 1330669"/>
            <a:gd name="connsiteY191" fmla="*/ 261756 h 740611"/>
            <a:gd name="connsiteX192" fmla="*/ 947750 w 1330669"/>
            <a:gd name="connsiteY192" fmla="*/ 252061 h 740611"/>
            <a:gd name="connsiteX193" fmla="*/ 1067317 w 1330669"/>
            <a:gd name="connsiteY193" fmla="*/ 387786 h 740611"/>
            <a:gd name="connsiteX194" fmla="*/ 1161032 w 1330669"/>
            <a:gd name="connsiteY194" fmla="*/ 491196 h 740611"/>
            <a:gd name="connsiteX195" fmla="*/ 1287063 w 1330669"/>
            <a:gd name="connsiteY195" fmla="*/ 649542 h 740611"/>
            <a:gd name="connsiteX196" fmla="*/ 1316147 w 1330669"/>
            <a:gd name="connsiteY196" fmla="*/ 701247 h 740611"/>
            <a:gd name="connsiteX197" fmla="*/ 1329073 w 1330669"/>
            <a:gd name="connsiteY197" fmla="*/ 730331 h 740611"/>
            <a:gd name="connsiteX198" fmla="*/ 1306452 w 1330669"/>
            <a:gd name="connsiteY198" fmla="*/ 714173 h 740611"/>
            <a:gd name="connsiteX199" fmla="*/ 1248284 w 1330669"/>
            <a:gd name="connsiteY199" fmla="*/ 630153 h 740611"/>
            <a:gd name="connsiteX200" fmla="*/ 1215969 w 1330669"/>
            <a:gd name="connsiteY200" fmla="*/ 584911 h 740611"/>
            <a:gd name="connsiteX201" fmla="*/ 1225663 w 1330669"/>
            <a:gd name="connsiteY201" fmla="*/ 601069 h 740611"/>
            <a:gd name="connsiteX202" fmla="*/ 1232127 w 1330669"/>
            <a:gd name="connsiteY202" fmla="*/ 613995 h 740611"/>
            <a:gd name="connsiteX203" fmla="*/ 1235358 w 1330669"/>
            <a:gd name="connsiteY203" fmla="*/ 623690 h 740611"/>
            <a:gd name="connsiteX204" fmla="*/ 1212737 w 1330669"/>
            <a:gd name="connsiteY204" fmla="*/ 591374 h 740611"/>
            <a:gd name="connsiteX205" fmla="*/ 1170727 w 1330669"/>
            <a:gd name="connsiteY205" fmla="*/ 539669 h 740611"/>
            <a:gd name="connsiteX206" fmla="*/ 1038233 w 1330669"/>
            <a:gd name="connsiteY206" fmla="*/ 394250 h 740611"/>
            <a:gd name="connsiteX207" fmla="*/ 992992 w 1330669"/>
            <a:gd name="connsiteY207" fmla="*/ 339313 h 740611"/>
            <a:gd name="connsiteX208" fmla="*/ 954213 w 1330669"/>
            <a:gd name="connsiteY208" fmla="*/ 284377 h 740611"/>
            <a:gd name="connsiteX209" fmla="*/ 950982 w 1330669"/>
            <a:gd name="connsiteY209" fmla="*/ 274682 h 740611"/>
            <a:gd name="connsiteX210" fmla="*/ 925129 w 1330669"/>
            <a:gd name="connsiteY210" fmla="*/ 248830 h 740611"/>
            <a:gd name="connsiteX211" fmla="*/ 889582 w 1330669"/>
            <a:gd name="connsiteY211" fmla="*/ 206820 h 740611"/>
            <a:gd name="connsiteX212" fmla="*/ 805562 w 1330669"/>
            <a:gd name="connsiteY212" fmla="*/ 122799 h 740611"/>
            <a:gd name="connsiteX213" fmla="*/ 760320 w 1330669"/>
            <a:gd name="connsiteY213" fmla="*/ 87252 h 740611"/>
            <a:gd name="connsiteX214" fmla="*/ 708615 w 1330669"/>
            <a:gd name="connsiteY214" fmla="*/ 80789 h 740611"/>
            <a:gd name="connsiteX215" fmla="*/ 650447 w 1330669"/>
            <a:gd name="connsiteY215" fmla="*/ 74326 h 740611"/>
            <a:gd name="connsiteX216" fmla="*/ 559964 w 1330669"/>
            <a:gd name="connsiteY216" fmla="*/ 71094 h 740611"/>
            <a:gd name="connsiteX217" fmla="*/ 378997 w 1330669"/>
            <a:gd name="connsiteY217" fmla="*/ 84021 h 740611"/>
            <a:gd name="connsiteX218" fmla="*/ 330524 w 1330669"/>
            <a:gd name="connsiteY218" fmla="*/ 93715 h 740611"/>
            <a:gd name="connsiteX219" fmla="*/ 285282 w 1330669"/>
            <a:gd name="connsiteY219" fmla="*/ 106641 h 740611"/>
            <a:gd name="connsiteX220" fmla="*/ 278819 w 1330669"/>
            <a:gd name="connsiteY220" fmla="*/ 113105 h 740611"/>
            <a:gd name="connsiteX221" fmla="*/ 269124 w 1330669"/>
            <a:gd name="connsiteY221" fmla="*/ 132494 h 740611"/>
            <a:gd name="connsiteX222" fmla="*/ 201261 w 1330669"/>
            <a:gd name="connsiteY222" fmla="*/ 200356 h 740611"/>
            <a:gd name="connsiteX223" fmla="*/ 149557 w 1330669"/>
            <a:gd name="connsiteY223" fmla="*/ 261756 h 740611"/>
            <a:gd name="connsiteX224" fmla="*/ 136630 w 1330669"/>
            <a:gd name="connsiteY224" fmla="*/ 277914 h 740611"/>
            <a:gd name="connsiteX225" fmla="*/ 162483 w 1330669"/>
            <a:gd name="connsiteY225" fmla="*/ 271451 h 740611"/>
            <a:gd name="connsiteX226" fmla="*/ 185104 w 1330669"/>
            <a:gd name="connsiteY226" fmla="*/ 258524 h 740611"/>
            <a:gd name="connsiteX227" fmla="*/ 207725 w 1330669"/>
            <a:gd name="connsiteY227" fmla="*/ 252061 h 740611"/>
            <a:gd name="connsiteX228" fmla="*/ 223882 w 1330669"/>
            <a:gd name="connsiteY228" fmla="*/ 245598 h 740611"/>
            <a:gd name="connsiteX229" fmla="*/ 227114 w 1330669"/>
            <a:gd name="connsiteY229" fmla="*/ 277914 h 740611"/>
            <a:gd name="connsiteX230" fmla="*/ 172177 w 1330669"/>
            <a:gd name="connsiteY230" fmla="*/ 374860 h 740611"/>
            <a:gd name="connsiteX231" fmla="*/ 175409 w 1330669"/>
            <a:gd name="connsiteY231" fmla="*/ 371629 h 740611"/>
            <a:gd name="connsiteX232" fmla="*/ 191567 w 1330669"/>
            <a:gd name="connsiteY232" fmla="*/ 352239 h 740611"/>
            <a:gd name="connsiteX233" fmla="*/ 204493 w 1330669"/>
            <a:gd name="connsiteY233" fmla="*/ 342545 h 740611"/>
            <a:gd name="connsiteX234" fmla="*/ 198030 w 1330669"/>
            <a:gd name="connsiteY234" fmla="*/ 371629 h 740611"/>
            <a:gd name="connsiteX235" fmla="*/ 181872 w 1330669"/>
            <a:gd name="connsiteY235" fmla="*/ 397481 h 740611"/>
            <a:gd name="connsiteX236" fmla="*/ 156020 w 1330669"/>
            <a:gd name="connsiteY236" fmla="*/ 426565 h 740611"/>
            <a:gd name="connsiteX237" fmla="*/ 172177 w 1330669"/>
            <a:gd name="connsiteY237" fmla="*/ 397481 h 740611"/>
            <a:gd name="connsiteX238" fmla="*/ 181872 w 1330669"/>
            <a:gd name="connsiteY238" fmla="*/ 391018 h 740611"/>
            <a:gd name="connsiteX239" fmla="*/ 143093 w 1330669"/>
            <a:gd name="connsiteY239" fmla="*/ 465344 h 740611"/>
            <a:gd name="connsiteX240" fmla="*/ 110778 w 1330669"/>
            <a:gd name="connsiteY240" fmla="*/ 507354 h 740611"/>
            <a:gd name="connsiteX241" fmla="*/ 117241 w 1330669"/>
            <a:gd name="connsiteY241" fmla="*/ 491196 h 740611"/>
            <a:gd name="connsiteX242" fmla="*/ 130167 w 1330669"/>
            <a:gd name="connsiteY242" fmla="*/ 478270 h 740611"/>
            <a:gd name="connsiteX243" fmla="*/ 136630 w 1330669"/>
            <a:gd name="connsiteY243" fmla="*/ 468575 h 740611"/>
            <a:gd name="connsiteX244" fmla="*/ 133399 w 1330669"/>
            <a:gd name="connsiteY244" fmla="*/ 500891 h 740611"/>
            <a:gd name="connsiteX245" fmla="*/ 97852 w 1330669"/>
            <a:gd name="connsiteY245" fmla="*/ 578448 h 740611"/>
            <a:gd name="connsiteX246" fmla="*/ 88157 w 1330669"/>
            <a:gd name="connsiteY246" fmla="*/ 604300 h 740611"/>
            <a:gd name="connsiteX247" fmla="*/ 84926 w 1330669"/>
            <a:gd name="connsiteY247" fmla="*/ 617227 h 740611"/>
            <a:gd name="connsiteX248" fmla="*/ 94620 w 1330669"/>
            <a:gd name="connsiteY248" fmla="*/ 607532 h 740611"/>
            <a:gd name="connsiteX249" fmla="*/ 81694 w 1330669"/>
            <a:gd name="connsiteY249" fmla="*/ 626921 h 740611"/>
            <a:gd name="connsiteX250" fmla="*/ 49378 w 1330669"/>
            <a:gd name="connsiteY250" fmla="*/ 668931 h 740611"/>
            <a:gd name="connsiteX251" fmla="*/ 23526 w 1330669"/>
            <a:gd name="connsiteY251" fmla="*/ 707710 h 740611"/>
            <a:gd name="connsiteX252" fmla="*/ 7368 w 1330669"/>
            <a:gd name="connsiteY252" fmla="*/ 727099 h 740611"/>
            <a:gd name="connsiteX253" fmla="*/ 905 w 1330669"/>
            <a:gd name="connsiteY253" fmla="*/ 740026 h 740611"/>
            <a:gd name="connsiteX254" fmla="*/ 20295 w 1330669"/>
            <a:gd name="connsiteY254" fmla="*/ 714173 h 740611"/>
            <a:gd name="connsiteX255" fmla="*/ 55842 w 1330669"/>
            <a:gd name="connsiteY255" fmla="*/ 672163 h 740611"/>
            <a:gd name="connsiteX256" fmla="*/ 62305 w 1330669"/>
            <a:gd name="connsiteY256" fmla="*/ 659237 h 740611"/>
            <a:gd name="connsiteX257" fmla="*/ 52610 w 1330669"/>
            <a:gd name="connsiteY257" fmla="*/ 672163 h 740611"/>
            <a:gd name="connsiteX258" fmla="*/ 59073 w 1330669"/>
            <a:gd name="connsiteY258" fmla="*/ 662468 h 740611"/>
            <a:gd name="connsiteX259" fmla="*/ 126936 w 1330669"/>
            <a:gd name="connsiteY259" fmla="*/ 594606 h 740611"/>
            <a:gd name="connsiteX260" fmla="*/ 185104 w 1330669"/>
            <a:gd name="connsiteY260" fmla="*/ 549364 h 740611"/>
            <a:gd name="connsiteX261" fmla="*/ 181872 w 1330669"/>
            <a:gd name="connsiteY261" fmla="*/ 571985 h 740611"/>
            <a:gd name="connsiteX262" fmla="*/ 175409 w 1330669"/>
            <a:gd name="connsiteY262" fmla="*/ 581680 h 740611"/>
            <a:gd name="connsiteX263" fmla="*/ 172177 w 1330669"/>
            <a:gd name="connsiteY263" fmla="*/ 568753 h 740611"/>
            <a:gd name="connsiteX264" fmla="*/ 159251 w 1330669"/>
            <a:gd name="connsiteY264" fmla="*/ 584911 h 740611"/>
            <a:gd name="connsiteX265" fmla="*/ 168946 w 1330669"/>
            <a:gd name="connsiteY265" fmla="*/ 578448 h 740611"/>
            <a:gd name="connsiteX266" fmla="*/ 159251 w 1330669"/>
            <a:gd name="connsiteY266" fmla="*/ 584911 h 74061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 ang="0">
              <a:pos x="connsiteX55" y="connsiteY55"/>
            </a:cxn>
            <a:cxn ang="0">
              <a:pos x="connsiteX56" y="connsiteY56"/>
            </a:cxn>
            <a:cxn ang="0">
              <a:pos x="connsiteX57" y="connsiteY57"/>
            </a:cxn>
            <a:cxn ang="0">
              <a:pos x="connsiteX58" y="connsiteY58"/>
            </a:cxn>
            <a:cxn ang="0">
              <a:pos x="connsiteX59" y="connsiteY59"/>
            </a:cxn>
            <a:cxn ang="0">
              <a:pos x="connsiteX60" y="connsiteY60"/>
            </a:cxn>
            <a:cxn ang="0">
              <a:pos x="connsiteX61" y="connsiteY61"/>
            </a:cxn>
            <a:cxn ang="0">
              <a:pos x="connsiteX62" y="connsiteY62"/>
            </a:cxn>
            <a:cxn ang="0">
              <a:pos x="connsiteX63" y="connsiteY63"/>
            </a:cxn>
            <a:cxn ang="0">
              <a:pos x="connsiteX64" y="connsiteY64"/>
            </a:cxn>
            <a:cxn ang="0">
              <a:pos x="connsiteX65" y="connsiteY65"/>
            </a:cxn>
            <a:cxn ang="0">
              <a:pos x="connsiteX66" y="connsiteY66"/>
            </a:cxn>
            <a:cxn ang="0">
              <a:pos x="connsiteX67" y="connsiteY67"/>
            </a:cxn>
            <a:cxn ang="0">
              <a:pos x="connsiteX68" y="connsiteY68"/>
            </a:cxn>
            <a:cxn ang="0">
              <a:pos x="connsiteX69" y="connsiteY69"/>
            </a:cxn>
            <a:cxn ang="0">
              <a:pos x="connsiteX70" y="connsiteY70"/>
            </a:cxn>
            <a:cxn ang="0">
              <a:pos x="connsiteX71" y="connsiteY71"/>
            </a:cxn>
            <a:cxn ang="0">
              <a:pos x="connsiteX72" y="connsiteY72"/>
            </a:cxn>
            <a:cxn ang="0">
              <a:pos x="connsiteX73" y="connsiteY73"/>
            </a:cxn>
            <a:cxn ang="0">
              <a:pos x="connsiteX74" y="connsiteY74"/>
            </a:cxn>
            <a:cxn ang="0">
              <a:pos x="connsiteX75" y="connsiteY75"/>
            </a:cxn>
            <a:cxn ang="0">
              <a:pos x="connsiteX76" y="connsiteY76"/>
            </a:cxn>
            <a:cxn ang="0">
              <a:pos x="connsiteX77" y="connsiteY77"/>
            </a:cxn>
            <a:cxn ang="0">
              <a:pos x="connsiteX78" y="connsiteY78"/>
            </a:cxn>
            <a:cxn ang="0">
              <a:pos x="connsiteX79" y="connsiteY79"/>
            </a:cxn>
            <a:cxn ang="0">
              <a:pos x="connsiteX80" y="connsiteY80"/>
            </a:cxn>
            <a:cxn ang="0">
              <a:pos x="connsiteX81" y="connsiteY81"/>
            </a:cxn>
            <a:cxn ang="0">
              <a:pos x="connsiteX82" y="connsiteY82"/>
            </a:cxn>
            <a:cxn ang="0">
              <a:pos x="connsiteX83" y="connsiteY83"/>
            </a:cxn>
            <a:cxn ang="0">
              <a:pos x="connsiteX84" y="connsiteY84"/>
            </a:cxn>
            <a:cxn ang="0">
              <a:pos x="connsiteX85" y="connsiteY85"/>
            </a:cxn>
            <a:cxn ang="0">
              <a:pos x="connsiteX86" y="connsiteY86"/>
            </a:cxn>
            <a:cxn ang="0">
              <a:pos x="connsiteX87" y="connsiteY87"/>
            </a:cxn>
            <a:cxn ang="0">
              <a:pos x="connsiteX88" y="connsiteY88"/>
            </a:cxn>
            <a:cxn ang="0">
              <a:pos x="connsiteX89" y="connsiteY89"/>
            </a:cxn>
            <a:cxn ang="0">
              <a:pos x="connsiteX90" y="connsiteY90"/>
            </a:cxn>
            <a:cxn ang="0">
              <a:pos x="connsiteX91" y="connsiteY91"/>
            </a:cxn>
            <a:cxn ang="0">
              <a:pos x="connsiteX92" y="connsiteY92"/>
            </a:cxn>
            <a:cxn ang="0">
              <a:pos x="connsiteX93" y="connsiteY93"/>
            </a:cxn>
            <a:cxn ang="0">
              <a:pos x="connsiteX94" y="connsiteY94"/>
            </a:cxn>
            <a:cxn ang="0">
              <a:pos x="connsiteX95" y="connsiteY95"/>
            </a:cxn>
            <a:cxn ang="0">
              <a:pos x="connsiteX96" y="connsiteY96"/>
            </a:cxn>
            <a:cxn ang="0">
              <a:pos x="connsiteX97" y="connsiteY97"/>
            </a:cxn>
            <a:cxn ang="0">
              <a:pos x="connsiteX98" y="connsiteY98"/>
            </a:cxn>
            <a:cxn ang="0">
              <a:pos x="connsiteX99" y="connsiteY99"/>
            </a:cxn>
            <a:cxn ang="0">
              <a:pos x="connsiteX100" y="connsiteY100"/>
            </a:cxn>
            <a:cxn ang="0">
              <a:pos x="connsiteX101" y="connsiteY101"/>
            </a:cxn>
            <a:cxn ang="0">
              <a:pos x="connsiteX102" y="connsiteY102"/>
            </a:cxn>
            <a:cxn ang="0">
              <a:pos x="connsiteX103" y="connsiteY103"/>
            </a:cxn>
            <a:cxn ang="0">
              <a:pos x="connsiteX104" y="connsiteY104"/>
            </a:cxn>
            <a:cxn ang="0">
              <a:pos x="connsiteX105" y="connsiteY105"/>
            </a:cxn>
            <a:cxn ang="0">
              <a:pos x="connsiteX106" y="connsiteY106"/>
            </a:cxn>
            <a:cxn ang="0">
              <a:pos x="connsiteX107" y="connsiteY107"/>
            </a:cxn>
            <a:cxn ang="0">
              <a:pos x="connsiteX108" y="connsiteY108"/>
            </a:cxn>
            <a:cxn ang="0">
              <a:pos x="connsiteX109" y="connsiteY109"/>
            </a:cxn>
            <a:cxn ang="0">
              <a:pos x="connsiteX110" y="connsiteY110"/>
            </a:cxn>
            <a:cxn ang="0">
              <a:pos x="connsiteX111" y="connsiteY111"/>
            </a:cxn>
            <a:cxn ang="0">
              <a:pos x="connsiteX112" y="connsiteY112"/>
            </a:cxn>
            <a:cxn ang="0">
              <a:pos x="connsiteX113" y="connsiteY113"/>
            </a:cxn>
            <a:cxn ang="0">
              <a:pos x="connsiteX114" y="connsiteY114"/>
            </a:cxn>
            <a:cxn ang="0">
              <a:pos x="connsiteX115" y="connsiteY115"/>
            </a:cxn>
            <a:cxn ang="0">
              <a:pos x="connsiteX116" y="connsiteY116"/>
            </a:cxn>
            <a:cxn ang="0">
              <a:pos x="connsiteX117" y="connsiteY117"/>
            </a:cxn>
            <a:cxn ang="0">
              <a:pos x="connsiteX118" y="connsiteY118"/>
            </a:cxn>
            <a:cxn ang="0">
              <a:pos x="connsiteX119" y="connsiteY119"/>
            </a:cxn>
            <a:cxn ang="0">
              <a:pos x="connsiteX120" y="connsiteY120"/>
            </a:cxn>
            <a:cxn ang="0">
              <a:pos x="connsiteX121" y="connsiteY121"/>
            </a:cxn>
            <a:cxn ang="0">
              <a:pos x="connsiteX122" y="connsiteY122"/>
            </a:cxn>
            <a:cxn ang="0">
              <a:pos x="connsiteX123" y="connsiteY123"/>
            </a:cxn>
            <a:cxn ang="0">
              <a:pos x="connsiteX124" y="connsiteY124"/>
            </a:cxn>
            <a:cxn ang="0">
              <a:pos x="connsiteX125" y="connsiteY125"/>
            </a:cxn>
            <a:cxn ang="0">
              <a:pos x="connsiteX126" y="connsiteY126"/>
            </a:cxn>
            <a:cxn ang="0">
              <a:pos x="connsiteX127" y="connsiteY127"/>
            </a:cxn>
            <a:cxn ang="0">
              <a:pos x="connsiteX128" y="connsiteY128"/>
            </a:cxn>
            <a:cxn ang="0">
              <a:pos x="connsiteX129" y="connsiteY129"/>
            </a:cxn>
            <a:cxn ang="0">
              <a:pos x="connsiteX130" y="connsiteY130"/>
            </a:cxn>
            <a:cxn ang="0">
              <a:pos x="connsiteX131" y="connsiteY131"/>
            </a:cxn>
            <a:cxn ang="0">
              <a:pos x="connsiteX132" y="connsiteY132"/>
            </a:cxn>
            <a:cxn ang="0">
              <a:pos x="connsiteX133" y="connsiteY133"/>
            </a:cxn>
            <a:cxn ang="0">
              <a:pos x="connsiteX134" y="connsiteY134"/>
            </a:cxn>
            <a:cxn ang="0">
              <a:pos x="connsiteX135" y="connsiteY135"/>
            </a:cxn>
            <a:cxn ang="0">
              <a:pos x="connsiteX136" y="connsiteY136"/>
            </a:cxn>
            <a:cxn ang="0">
              <a:pos x="connsiteX137" y="connsiteY137"/>
            </a:cxn>
            <a:cxn ang="0">
              <a:pos x="connsiteX138" y="connsiteY138"/>
            </a:cxn>
            <a:cxn ang="0">
              <a:pos x="connsiteX139" y="connsiteY139"/>
            </a:cxn>
            <a:cxn ang="0">
              <a:pos x="connsiteX140" y="connsiteY140"/>
            </a:cxn>
            <a:cxn ang="0">
              <a:pos x="connsiteX141" y="connsiteY141"/>
            </a:cxn>
            <a:cxn ang="0">
              <a:pos x="connsiteX142" y="connsiteY142"/>
            </a:cxn>
            <a:cxn ang="0">
              <a:pos x="connsiteX143" y="connsiteY143"/>
            </a:cxn>
            <a:cxn ang="0">
              <a:pos x="connsiteX144" y="connsiteY144"/>
            </a:cxn>
            <a:cxn ang="0">
              <a:pos x="connsiteX145" y="connsiteY145"/>
            </a:cxn>
            <a:cxn ang="0">
              <a:pos x="connsiteX146" y="connsiteY146"/>
            </a:cxn>
            <a:cxn ang="0">
              <a:pos x="connsiteX147" y="connsiteY147"/>
            </a:cxn>
            <a:cxn ang="0">
              <a:pos x="connsiteX148" y="connsiteY148"/>
            </a:cxn>
            <a:cxn ang="0">
              <a:pos x="connsiteX149" y="connsiteY149"/>
            </a:cxn>
            <a:cxn ang="0">
              <a:pos x="connsiteX150" y="connsiteY150"/>
            </a:cxn>
            <a:cxn ang="0">
              <a:pos x="connsiteX151" y="connsiteY151"/>
            </a:cxn>
            <a:cxn ang="0">
              <a:pos x="connsiteX152" y="connsiteY152"/>
            </a:cxn>
            <a:cxn ang="0">
              <a:pos x="connsiteX153" y="connsiteY153"/>
            </a:cxn>
            <a:cxn ang="0">
              <a:pos x="connsiteX154" y="connsiteY154"/>
            </a:cxn>
            <a:cxn ang="0">
              <a:pos x="connsiteX155" y="connsiteY155"/>
            </a:cxn>
            <a:cxn ang="0">
              <a:pos x="connsiteX156" y="connsiteY156"/>
            </a:cxn>
            <a:cxn ang="0">
              <a:pos x="connsiteX157" y="connsiteY157"/>
            </a:cxn>
            <a:cxn ang="0">
              <a:pos x="connsiteX158" y="connsiteY158"/>
            </a:cxn>
            <a:cxn ang="0">
              <a:pos x="connsiteX159" y="connsiteY159"/>
            </a:cxn>
            <a:cxn ang="0">
              <a:pos x="connsiteX160" y="connsiteY160"/>
            </a:cxn>
            <a:cxn ang="0">
              <a:pos x="connsiteX161" y="connsiteY161"/>
            </a:cxn>
            <a:cxn ang="0">
              <a:pos x="connsiteX162" y="connsiteY162"/>
            </a:cxn>
            <a:cxn ang="0">
              <a:pos x="connsiteX163" y="connsiteY163"/>
            </a:cxn>
            <a:cxn ang="0">
              <a:pos x="connsiteX164" y="connsiteY164"/>
            </a:cxn>
            <a:cxn ang="0">
              <a:pos x="connsiteX165" y="connsiteY165"/>
            </a:cxn>
            <a:cxn ang="0">
              <a:pos x="connsiteX166" y="connsiteY166"/>
            </a:cxn>
            <a:cxn ang="0">
              <a:pos x="connsiteX167" y="connsiteY167"/>
            </a:cxn>
            <a:cxn ang="0">
              <a:pos x="connsiteX168" y="connsiteY168"/>
            </a:cxn>
            <a:cxn ang="0">
              <a:pos x="connsiteX169" y="connsiteY169"/>
            </a:cxn>
            <a:cxn ang="0">
              <a:pos x="connsiteX170" y="connsiteY170"/>
            </a:cxn>
            <a:cxn ang="0">
              <a:pos x="connsiteX171" y="connsiteY171"/>
            </a:cxn>
            <a:cxn ang="0">
              <a:pos x="connsiteX172" y="connsiteY172"/>
            </a:cxn>
            <a:cxn ang="0">
              <a:pos x="connsiteX173" y="connsiteY173"/>
            </a:cxn>
            <a:cxn ang="0">
              <a:pos x="connsiteX174" y="connsiteY174"/>
            </a:cxn>
            <a:cxn ang="0">
              <a:pos x="connsiteX175" y="connsiteY175"/>
            </a:cxn>
            <a:cxn ang="0">
              <a:pos x="connsiteX176" y="connsiteY176"/>
            </a:cxn>
            <a:cxn ang="0">
              <a:pos x="connsiteX177" y="connsiteY177"/>
            </a:cxn>
            <a:cxn ang="0">
              <a:pos x="connsiteX178" y="connsiteY178"/>
            </a:cxn>
            <a:cxn ang="0">
              <a:pos x="connsiteX179" y="connsiteY179"/>
            </a:cxn>
            <a:cxn ang="0">
              <a:pos x="connsiteX180" y="connsiteY180"/>
            </a:cxn>
            <a:cxn ang="0">
              <a:pos x="connsiteX181" y="connsiteY181"/>
            </a:cxn>
            <a:cxn ang="0">
              <a:pos x="connsiteX182" y="connsiteY182"/>
            </a:cxn>
            <a:cxn ang="0">
              <a:pos x="connsiteX183" y="connsiteY183"/>
            </a:cxn>
            <a:cxn ang="0">
              <a:pos x="connsiteX184" y="connsiteY184"/>
            </a:cxn>
            <a:cxn ang="0">
              <a:pos x="connsiteX185" y="connsiteY185"/>
            </a:cxn>
            <a:cxn ang="0">
              <a:pos x="connsiteX186" y="connsiteY186"/>
            </a:cxn>
            <a:cxn ang="0">
              <a:pos x="connsiteX187" y="connsiteY187"/>
            </a:cxn>
            <a:cxn ang="0">
              <a:pos x="connsiteX188" y="connsiteY188"/>
            </a:cxn>
            <a:cxn ang="0">
              <a:pos x="connsiteX189" y="connsiteY189"/>
            </a:cxn>
            <a:cxn ang="0">
              <a:pos x="connsiteX190" y="connsiteY190"/>
            </a:cxn>
            <a:cxn ang="0">
              <a:pos x="connsiteX191" y="connsiteY191"/>
            </a:cxn>
            <a:cxn ang="0">
              <a:pos x="connsiteX192" y="connsiteY192"/>
            </a:cxn>
            <a:cxn ang="0">
              <a:pos x="connsiteX193" y="connsiteY193"/>
            </a:cxn>
            <a:cxn ang="0">
              <a:pos x="connsiteX194" y="connsiteY194"/>
            </a:cxn>
            <a:cxn ang="0">
              <a:pos x="connsiteX195" y="connsiteY195"/>
            </a:cxn>
            <a:cxn ang="0">
              <a:pos x="connsiteX196" y="connsiteY196"/>
            </a:cxn>
            <a:cxn ang="0">
              <a:pos x="connsiteX197" y="connsiteY197"/>
            </a:cxn>
            <a:cxn ang="0">
              <a:pos x="connsiteX198" y="connsiteY198"/>
            </a:cxn>
            <a:cxn ang="0">
              <a:pos x="connsiteX199" y="connsiteY199"/>
            </a:cxn>
            <a:cxn ang="0">
              <a:pos x="connsiteX200" y="connsiteY200"/>
            </a:cxn>
            <a:cxn ang="0">
              <a:pos x="connsiteX201" y="connsiteY201"/>
            </a:cxn>
            <a:cxn ang="0">
              <a:pos x="connsiteX202" y="connsiteY202"/>
            </a:cxn>
            <a:cxn ang="0">
              <a:pos x="connsiteX203" y="connsiteY203"/>
            </a:cxn>
            <a:cxn ang="0">
              <a:pos x="connsiteX204" y="connsiteY204"/>
            </a:cxn>
            <a:cxn ang="0">
              <a:pos x="connsiteX205" y="connsiteY205"/>
            </a:cxn>
            <a:cxn ang="0">
              <a:pos x="connsiteX206" y="connsiteY206"/>
            </a:cxn>
            <a:cxn ang="0">
              <a:pos x="connsiteX207" y="connsiteY207"/>
            </a:cxn>
            <a:cxn ang="0">
              <a:pos x="connsiteX208" y="connsiteY208"/>
            </a:cxn>
            <a:cxn ang="0">
              <a:pos x="connsiteX209" y="connsiteY209"/>
            </a:cxn>
            <a:cxn ang="0">
              <a:pos x="connsiteX210" y="connsiteY210"/>
            </a:cxn>
            <a:cxn ang="0">
              <a:pos x="connsiteX211" y="connsiteY211"/>
            </a:cxn>
            <a:cxn ang="0">
              <a:pos x="connsiteX212" y="connsiteY212"/>
            </a:cxn>
            <a:cxn ang="0">
              <a:pos x="connsiteX213" y="connsiteY213"/>
            </a:cxn>
            <a:cxn ang="0">
              <a:pos x="connsiteX214" y="connsiteY214"/>
            </a:cxn>
            <a:cxn ang="0">
              <a:pos x="connsiteX215" y="connsiteY215"/>
            </a:cxn>
            <a:cxn ang="0">
              <a:pos x="connsiteX216" y="connsiteY216"/>
            </a:cxn>
            <a:cxn ang="0">
              <a:pos x="connsiteX217" y="connsiteY217"/>
            </a:cxn>
            <a:cxn ang="0">
              <a:pos x="connsiteX218" y="connsiteY218"/>
            </a:cxn>
            <a:cxn ang="0">
              <a:pos x="connsiteX219" y="connsiteY219"/>
            </a:cxn>
            <a:cxn ang="0">
              <a:pos x="connsiteX220" y="connsiteY220"/>
            </a:cxn>
            <a:cxn ang="0">
              <a:pos x="connsiteX221" y="connsiteY221"/>
            </a:cxn>
            <a:cxn ang="0">
              <a:pos x="connsiteX222" y="connsiteY222"/>
            </a:cxn>
            <a:cxn ang="0">
              <a:pos x="connsiteX223" y="connsiteY223"/>
            </a:cxn>
            <a:cxn ang="0">
              <a:pos x="connsiteX224" y="connsiteY224"/>
            </a:cxn>
            <a:cxn ang="0">
              <a:pos x="connsiteX225" y="connsiteY225"/>
            </a:cxn>
            <a:cxn ang="0">
              <a:pos x="connsiteX226" y="connsiteY226"/>
            </a:cxn>
            <a:cxn ang="0">
              <a:pos x="connsiteX227" y="connsiteY227"/>
            </a:cxn>
            <a:cxn ang="0">
              <a:pos x="connsiteX228" y="connsiteY228"/>
            </a:cxn>
            <a:cxn ang="0">
              <a:pos x="connsiteX229" y="connsiteY229"/>
            </a:cxn>
            <a:cxn ang="0">
              <a:pos x="connsiteX230" y="connsiteY230"/>
            </a:cxn>
            <a:cxn ang="0">
              <a:pos x="connsiteX231" y="connsiteY231"/>
            </a:cxn>
            <a:cxn ang="0">
              <a:pos x="connsiteX232" y="connsiteY232"/>
            </a:cxn>
            <a:cxn ang="0">
              <a:pos x="connsiteX233" y="connsiteY233"/>
            </a:cxn>
            <a:cxn ang="0">
              <a:pos x="connsiteX234" y="connsiteY234"/>
            </a:cxn>
            <a:cxn ang="0">
              <a:pos x="connsiteX235" y="connsiteY235"/>
            </a:cxn>
            <a:cxn ang="0">
              <a:pos x="connsiteX236" y="connsiteY236"/>
            </a:cxn>
            <a:cxn ang="0">
              <a:pos x="connsiteX237" y="connsiteY237"/>
            </a:cxn>
            <a:cxn ang="0">
              <a:pos x="connsiteX238" y="connsiteY238"/>
            </a:cxn>
            <a:cxn ang="0">
              <a:pos x="connsiteX239" y="connsiteY239"/>
            </a:cxn>
            <a:cxn ang="0">
              <a:pos x="connsiteX240" y="connsiteY240"/>
            </a:cxn>
            <a:cxn ang="0">
              <a:pos x="connsiteX241" y="connsiteY241"/>
            </a:cxn>
            <a:cxn ang="0">
              <a:pos x="connsiteX242" y="connsiteY242"/>
            </a:cxn>
            <a:cxn ang="0">
              <a:pos x="connsiteX243" y="connsiteY243"/>
            </a:cxn>
            <a:cxn ang="0">
              <a:pos x="connsiteX244" y="connsiteY244"/>
            </a:cxn>
            <a:cxn ang="0">
              <a:pos x="connsiteX245" y="connsiteY245"/>
            </a:cxn>
            <a:cxn ang="0">
              <a:pos x="connsiteX246" y="connsiteY246"/>
            </a:cxn>
            <a:cxn ang="0">
              <a:pos x="connsiteX247" y="connsiteY247"/>
            </a:cxn>
            <a:cxn ang="0">
              <a:pos x="connsiteX248" y="connsiteY248"/>
            </a:cxn>
            <a:cxn ang="0">
              <a:pos x="connsiteX249" y="connsiteY249"/>
            </a:cxn>
            <a:cxn ang="0">
              <a:pos x="connsiteX250" y="connsiteY250"/>
            </a:cxn>
            <a:cxn ang="0">
              <a:pos x="connsiteX251" y="connsiteY251"/>
            </a:cxn>
            <a:cxn ang="0">
              <a:pos x="connsiteX252" y="connsiteY252"/>
            </a:cxn>
            <a:cxn ang="0">
              <a:pos x="connsiteX253" y="connsiteY253"/>
            </a:cxn>
            <a:cxn ang="0">
              <a:pos x="connsiteX254" y="connsiteY254"/>
            </a:cxn>
            <a:cxn ang="0">
              <a:pos x="connsiteX255" y="connsiteY255"/>
            </a:cxn>
            <a:cxn ang="0">
              <a:pos x="connsiteX256" y="connsiteY256"/>
            </a:cxn>
            <a:cxn ang="0">
              <a:pos x="connsiteX257" y="connsiteY257"/>
            </a:cxn>
            <a:cxn ang="0">
              <a:pos x="connsiteX258" y="connsiteY258"/>
            </a:cxn>
            <a:cxn ang="0">
              <a:pos x="connsiteX259" y="connsiteY259"/>
            </a:cxn>
            <a:cxn ang="0">
              <a:pos x="connsiteX260" y="connsiteY260"/>
            </a:cxn>
            <a:cxn ang="0">
              <a:pos x="connsiteX261" y="connsiteY261"/>
            </a:cxn>
            <a:cxn ang="0">
              <a:pos x="connsiteX262" y="connsiteY262"/>
            </a:cxn>
            <a:cxn ang="0">
              <a:pos x="connsiteX263" y="connsiteY263"/>
            </a:cxn>
            <a:cxn ang="0">
              <a:pos x="connsiteX264" y="connsiteY264"/>
            </a:cxn>
            <a:cxn ang="0">
              <a:pos x="connsiteX265" y="connsiteY265"/>
            </a:cxn>
            <a:cxn ang="0">
              <a:pos x="connsiteX266" y="connsiteY266"/>
            </a:cxn>
          </a:cxnLst>
          <a:rect l="l" t="t" r="r" b="b"/>
          <a:pathLst>
            <a:path w="1330669" h="740611">
              <a:moveTo>
                <a:pt x="433933" y="148652"/>
              </a:moveTo>
              <a:cubicBezTo>
                <a:pt x="396973" y="165078"/>
                <a:pt x="386295" y="168315"/>
                <a:pt x="346681" y="197125"/>
              </a:cubicBezTo>
              <a:cubicBezTo>
                <a:pt x="334832" y="205742"/>
                <a:pt x="321803" y="212936"/>
                <a:pt x="311134" y="222977"/>
              </a:cubicBezTo>
              <a:cubicBezTo>
                <a:pt x="303290" y="230360"/>
                <a:pt x="298006" y="240064"/>
                <a:pt x="291745" y="248830"/>
              </a:cubicBezTo>
              <a:cubicBezTo>
                <a:pt x="275137" y="272082"/>
                <a:pt x="279860" y="265443"/>
                <a:pt x="269124" y="294071"/>
              </a:cubicBezTo>
              <a:cubicBezTo>
                <a:pt x="257709" y="373967"/>
                <a:pt x="272840" y="261578"/>
                <a:pt x="262661" y="468575"/>
              </a:cubicBezTo>
              <a:cubicBezTo>
                <a:pt x="261913" y="483790"/>
                <a:pt x="257577" y="498646"/>
                <a:pt x="256198" y="513817"/>
              </a:cubicBezTo>
              <a:lnTo>
                <a:pt x="252966" y="549364"/>
              </a:lnTo>
              <a:cubicBezTo>
                <a:pt x="254043" y="567676"/>
                <a:pt x="253182" y="586206"/>
                <a:pt x="256198" y="604300"/>
              </a:cubicBezTo>
              <a:cubicBezTo>
                <a:pt x="257101" y="609718"/>
                <a:pt x="259429" y="593635"/>
                <a:pt x="259429" y="588143"/>
              </a:cubicBezTo>
              <a:cubicBezTo>
                <a:pt x="259429" y="556886"/>
                <a:pt x="257275" y="525666"/>
                <a:pt x="256198" y="494428"/>
              </a:cubicBezTo>
              <a:cubicBezTo>
                <a:pt x="265087" y="383319"/>
                <a:pt x="256318" y="448588"/>
                <a:pt x="272356" y="368397"/>
              </a:cubicBezTo>
              <a:cubicBezTo>
                <a:pt x="274718" y="356588"/>
                <a:pt x="276338" y="344635"/>
                <a:pt x="278819" y="332850"/>
              </a:cubicBezTo>
              <a:cubicBezTo>
                <a:pt x="281269" y="321211"/>
                <a:pt x="282522" y="306526"/>
                <a:pt x="291745" y="297303"/>
              </a:cubicBezTo>
              <a:cubicBezTo>
                <a:pt x="294491" y="294557"/>
                <a:pt x="298208" y="292994"/>
                <a:pt x="301440" y="290840"/>
              </a:cubicBezTo>
              <a:cubicBezTo>
                <a:pt x="302517" y="295149"/>
                <a:pt x="304671" y="299325"/>
                <a:pt x="304671" y="303766"/>
              </a:cubicBezTo>
              <a:cubicBezTo>
                <a:pt x="304671" y="320382"/>
                <a:pt x="299150" y="346072"/>
                <a:pt x="294976" y="361934"/>
              </a:cubicBezTo>
              <a:cubicBezTo>
                <a:pt x="288490" y="386579"/>
                <a:pt x="277945" y="416421"/>
                <a:pt x="269124" y="439491"/>
              </a:cubicBezTo>
              <a:cubicBezTo>
                <a:pt x="260837" y="461164"/>
                <a:pt x="252919" y="483019"/>
                <a:pt x="243272" y="504122"/>
              </a:cubicBezTo>
              <a:cubicBezTo>
                <a:pt x="229829" y="533529"/>
                <a:pt x="213909" y="566907"/>
                <a:pt x="185104" y="584911"/>
              </a:cubicBezTo>
              <a:cubicBezTo>
                <a:pt x="182215" y="586716"/>
                <a:pt x="178641" y="587066"/>
                <a:pt x="175409" y="588143"/>
              </a:cubicBezTo>
              <a:cubicBezTo>
                <a:pt x="173255" y="579525"/>
                <a:pt x="169186" y="571170"/>
                <a:pt x="168946" y="562290"/>
              </a:cubicBezTo>
              <a:cubicBezTo>
                <a:pt x="167018" y="490981"/>
                <a:pt x="172683" y="440876"/>
                <a:pt x="191567" y="371629"/>
              </a:cubicBezTo>
              <a:cubicBezTo>
                <a:pt x="193183" y="365705"/>
                <a:pt x="202853" y="327654"/>
                <a:pt x="207725" y="316692"/>
              </a:cubicBezTo>
              <a:cubicBezTo>
                <a:pt x="209302" y="313143"/>
                <a:pt x="212034" y="310229"/>
                <a:pt x="214188" y="306998"/>
              </a:cubicBezTo>
              <a:cubicBezTo>
                <a:pt x="217419" y="308075"/>
                <a:pt x="221474" y="307821"/>
                <a:pt x="223882" y="310229"/>
              </a:cubicBezTo>
              <a:cubicBezTo>
                <a:pt x="226291" y="312638"/>
                <a:pt x="226288" y="316619"/>
                <a:pt x="227114" y="319924"/>
              </a:cubicBezTo>
              <a:cubicBezTo>
                <a:pt x="228446" y="325253"/>
                <a:pt x="229268" y="330696"/>
                <a:pt x="230345" y="336082"/>
              </a:cubicBezTo>
              <a:cubicBezTo>
                <a:pt x="228191" y="363011"/>
                <a:pt x="227703" y="390126"/>
                <a:pt x="223882" y="416870"/>
              </a:cubicBezTo>
              <a:cubicBezTo>
                <a:pt x="223333" y="420715"/>
                <a:pt x="220452" y="424139"/>
                <a:pt x="217419" y="426565"/>
              </a:cubicBezTo>
              <a:cubicBezTo>
                <a:pt x="214759" y="428693"/>
                <a:pt x="210956" y="428720"/>
                <a:pt x="207725" y="429797"/>
              </a:cubicBezTo>
              <a:cubicBezTo>
                <a:pt x="204493" y="422257"/>
                <a:pt x="199720" y="415204"/>
                <a:pt x="198030" y="407176"/>
              </a:cubicBezTo>
              <a:cubicBezTo>
                <a:pt x="191922" y="378166"/>
                <a:pt x="194996" y="348563"/>
                <a:pt x="201261" y="319924"/>
              </a:cubicBezTo>
              <a:cubicBezTo>
                <a:pt x="205340" y="301277"/>
                <a:pt x="209317" y="282270"/>
                <a:pt x="217419" y="264987"/>
              </a:cubicBezTo>
              <a:cubicBezTo>
                <a:pt x="225661" y="247404"/>
                <a:pt x="237191" y="231338"/>
                <a:pt x="249735" y="216514"/>
              </a:cubicBezTo>
              <a:cubicBezTo>
                <a:pt x="271954" y="190255"/>
                <a:pt x="300702" y="168923"/>
                <a:pt x="333755" y="158346"/>
              </a:cubicBezTo>
              <a:cubicBezTo>
                <a:pt x="345087" y="154720"/>
                <a:pt x="357453" y="156192"/>
                <a:pt x="369302" y="155115"/>
              </a:cubicBezTo>
              <a:cubicBezTo>
                <a:pt x="378997" y="157269"/>
                <a:pt x="389642" y="156870"/>
                <a:pt x="398386" y="161578"/>
              </a:cubicBezTo>
              <a:cubicBezTo>
                <a:pt x="411928" y="168870"/>
                <a:pt x="414286" y="188146"/>
                <a:pt x="417775" y="200356"/>
              </a:cubicBezTo>
              <a:cubicBezTo>
                <a:pt x="416067" y="210608"/>
                <a:pt x="415466" y="228825"/>
                <a:pt x="404849" y="235903"/>
              </a:cubicBezTo>
              <a:cubicBezTo>
                <a:pt x="399397" y="239537"/>
                <a:pt x="391923" y="238058"/>
                <a:pt x="385460" y="239135"/>
              </a:cubicBezTo>
              <a:cubicBezTo>
                <a:pt x="380074" y="238058"/>
                <a:pt x="373960" y="238814"/>
                <a:pt x="369302" y="235903"/>
              </a:cubicBezTo>
              <a:cubicBezTo>
                <a:pt x="364735" y="233048"/>
                <a:pt x="359607" y="228363"/>
                <a:pt x="359607" y="222977"/>
              </a:cubicBezTo>
              <a:cubicBezTo>
                <a:pt x="359607" y="182434"/>
                <a:pt x="354678" y="147676"/>
                <a:pt x="388691" y="126031"/>
              </a:cubicBezTo>
              <a:cubicBezTo>
                <a:pt x="393325" y="123082"/>
                <a:pt x="399463" y="123876"/>
                <a:pt x="404849" y="122799"/>
              </a:cubicBezTo>
              <a:cubicBezTo>
                <a:pt x="408081" y="123876"/>
                <a:pt x="411884" y="123903"/>
                <a:pt x="414544" y="126031"/>
              </a:cubicBezTo>
              <a:cubicBezTo>
                <a:pt x="418352" y="129077"/>
                <a:pt x="425879" y="145470"/>
                <a:pt x="427470" y="148652"/>
              </a:cubicBezTo>
              <a:cubicBezTo>
                <a:pt x="425316" y="154038"/>
                <a:pt x="426195" y="162215"/>
                <a:pt x="421007" y="164809"/>
              </a:cubicBezTo>
              <a:cubicBezTo>
                <a:pt x="410666" y="169979"/>
                <a:pt x="403342" y="148867"/>
                <a:pt x="401618" y="145420"/>
              </a:cubicBezTo>
              <a:cubicBezTo>
                <a:pt x="402695" y="137880"/>
                <a:pt x="399463" y="128185"/>
                <a:pt x="404849" y="122799"/>
              </a:cubicBezTo>
              <a:cubicBezTo>
                <a:pt x="408733" y="118915"/>
                <a:pt x="418550" y="121118"/>
                <a:pt x="421007" y="126031"/>
              </a:cubicBezTo>
              <a:cubicBezTo>
                <a:pt x="429119" y="142255"/>
                <a:pt x="407748" y="143887"/>
                <a:pt x="401618" y="145420"/>
              </a:cubicBezTo>
              <a:cubicBezTo>
                <a:pt x="397309" y="143266"/>
                <a:pt x="392349" y="142092"/>
                <a:pt x="388691" y="138957"/>
              </a:cubicBezTo>
              <a:cubicBezTo>
                <a:pt x="379562" y="131133"/>
                <a:pt x="379050" y="126190"/>
                <a:pt x="375765" y="116336"/>
              </a:cubicBezTo>
              <a:cubicBezTo>
                <a:pt x="376842" y="110950"/>
                <a:pt x="373611" y="101255"/>
                <a:pt x="378997" y="100178"/>
              </a:cubicBezTo>
              <a:cubicBezTo>
                <a:pt x="411319" y="93713"/>
                <a:pt x="418505" y="102340"/>
                <a:pt x="437165" y="116336"/>
              </a:cubicBezTo>
              <a:cubicBezTo>
                <a:pt x="439319" y="121722"/>
                <a:pt x="446506" y="127457"/>
                <a:pt x="443628" y="132494"/>
              </a:cubicBezTo>
              <a:cubicBezTo>
                <a:pt x="440932" y="137212"/>
                <a:pt x="408924" y="141509"/>
                <a:pt x="404849" y="142188"/>
              </a:cubicBezTo>
              <a:cubicBezTo>
                <a:pt x="399463" y="141111"/>
                <a:pt x="393604" y="141413"/>
                <a:pt x="388691" y="138957"/>
              </a:cubicBezTo>
              <a:cubicBezTo>
                <a:pt x="376623" y="132923"/>
                <a:pt x="378080" y="124676"/>
                <a:pt x="375765" y="113105"/>
              </a:cubicBezTo>
              <a:cubicBezTo>
                <a:pt x="377919" y="105565"/>
                <a:pt x="377731" y="96908"/>
                <a:pt x="382228" y="90484"/>
              </a:cubicBezTo>
              <a:cubicBezTo>
                <a:pt x="389289" y="80397"/>
                <a:pt x="415930" y="76403"/>
                <a:pt x="424239" y="74326"/>
              </a:cubicBezTo>
              <a:cubicBezTo>
                <a:pt x="449014" y="75403"/>
                <a:pt x="474029" y="73949"/>
                <a:pt x="498564" y="77557"/>
              </a:cubicBezTo>
              <a:cubicBezTo>
                <a:pt x="518801" y="80533"/>
                <a:pt x="541503" y="92797"/>
                <a:pt x="556732" y="106641"/>
              </a:cubicBezTo>
              <a:cubicBezTo>
                <a:pt x="561836" y="111281"/>
                <a:pt x="565349" y="117413"/>
                <a:pt x="569658" y="122799"/>
              </a:cubicBezTo>
              <a:cubicBezTo>
                <a:pt x="570888" y="128946"/>
                <a:pt x="576283" y="142027"/>
                <a:pt x="569658" y="148652"/>
              </a:cubicBezTo>
              <a:cubicBezTo>
                <a:pt x="567250" y="151060"/>
                <a:pt x="563195" y="150806"/>
                <a:pt x="559964" y="151883"/>
              </a:cubicBezTo>
              <a:cubicBezTo>
                <a:pt x="555655" y="150806"/>
                <a:pt x="550591" y="151317"/>
                <a:pt x="547038" y="148652"/>
              </a:cubicBezTo>
              <a:cubicBezTo>
                <a:pt x="530078" y="135933"/>
                <a:pt x="533213" y="126470"/>
                <a:pt x="530880" y="106641"/>
              </a:cubicBezTo>
              <a:cubicBezTo>
                <a:pt x="529740" y="96953"/>
                <a:pt x="528725" y="87252"/>
                <a:pt x="527648" y="77557"/>
              </a:cubicBezTo>
              <a:cubicBezTo>
                <a:pt x="537311" y="53398"/>
                <a:pt x="539010" y="36848"/>
                <a:pt x="563195" y="22621"/>
              </a:cubicBezTo>
              <a:cubicBezTo>
                <a:pt x="572889" y="16919"/>
                <a:pt x="584739" y="16158"/>
                <a:pt x="595511" y="12926"/>
              </a:cubicBezTo>
              <a:cubicBezTo>
                <a:pt x="618132" y="17235"/>
                <a:pt x="641612" y="18320"/>
                <a:pt x="663373" y="25853"/>
              </a:cubicBezTo>
              <a:cubicBezTo>
                <a:pt x="670571" y="28345"/>
                <a:pt x="675163" y="35770"/>
                <a:pt x="679531" y="42010"/>
              </a:cubicBezTo>
              <a:cubicBezTo>
                <a:pt x="681988" y="45521"/>
                <a:pt x="687255" y="61949"/>
                <a:pt x="689226" y="67863"/>
              </a:cubicBezTo>
              <a:cubicBezTo>
                <a:pt x="685994" y="70017"/>
                <a:pt x="683385" y="73844"/>
                <a:pt x="679531" y="74326"/>
              </a:cubicBezTo>
              <a:cubicBezTo>
                <a:pt x="668375" y="75720"/>
                <a:pt x="652384" y="65600"/>
                <a:pt x="643984" y="61400"/>
              </a:cubicBezTo>
              <a:cubicBezTo>
                <a:pt x="640752" y="56014"/>
                <a:pt x="636888" y="50960"/>
                <a:pt x="634289" y="45242"/>
              </a:cubicBezTo>
              <a:cubicBezTo>
                <a:pt x="627761" y="30881"/>
                <a:pt x="623174" y="18051"/>
                <a:pt x="634289" y="3232"/>
              </a:cubicBezTo>
              <a:cubicBezTo>
                <a:pt x="636954" y="-321"/>
                <a:pt x="642907" y="1077"/>
                <a:pt x="647216" y="0"/>
              </a:cubicBezTo>
              <a:cubicBezTo>
                <a:pt x="659065" y="4309"/>
                <a:pt x="672918" y="5050"/>
                <a:pt x="682763" y="12926"/>
              </a:cubicBezTo>
              <a:cubicBezTo>
                <a:pt x="697521" y="24733"/>
                <a:pt x="697186" y="52256"/>
                <a:pt x="698920" y="67863"/>
              </a:cubicBezTo>
              <a:cubicBezTo>
                <a:pt x="695689" y="77558"/>
                <a:pt x="694752" y="88351"/>
                <a:pt x="689226" y="96947"/>
              </a:cubicBezTo>
              <a:cubicBezTo>
                <a:pt x="678266" y="113996"/>
                <a:pt x="664454" y="114643"/>
                <a:pt x="647216" y="119568"/>
              </a:cubicBezTo>
              <a:cubicBezTo>
                <a:pt x="641830" y="118491"/>
                <a:pt x="635827" y="119061"/>
                <a:pt x="631058" y="116336"/>
              </a:cubicBezTo>
              <a:cubicBezTo>
                <a:pt x="615360" y="107365"/>
                <a:pt x="632168" y="84099"/>
                <a:pt x="637521" y="77557"/>
              </a:cubicBezTo>
              <a:cubicBezTo>
                <a:pt x="643055" y="70793"/>
                <a:pt x="671172" y="68595"/>
                <a:pt x="676300" y="67863"/>
              </a:cubicBezTo>
              <a:cubicBezTo>
                <a:pt x="693722" y="70766"/>
                <a:pt x="699806" y="68539"/>
                <a:pt x="711847" y="84021"/>
              </a:cubicBezTo>
              <a:cubicBezTo>
                <a:pt x="715408" y="88600"/>
                <a:pt x="716156" y="94792"/>
                <a:pt x="718310" y="100178"/>
              </a:cubicBezTo>
              <a:cubicBezTo>
                <a:pt x="719387" y="105564"/>
                <a:pt x="721541" y="110843"/>
                <a:pt x="721541" y="116336"/>
              </a:cubicBezTo>
              <a:cubicBezTo>
                <a:pt x="721541" y="119742"/>
                <a:pt x="720719" y="123622"/>
                <a:pt x="718310" y="126031"/>
              </a:cubicBezTo>
              <a:cubicBezTo>
                <a:pt x="712677" y="131665"/>
                <a:pt x="699671" y="133922"/>
                <a:pt x="692457" y="135725"/>
              </a:cubicBezTo>
              <a:cubicBezTo>
                <a:pt x="689226" y="132494"/>
                <a:pt x="684982" y="130026"/>
                <a:pt x="682763" y="126031"/>
              </a:cubicBezTo>
              <a:cubicBezTo>
                <a:pt x="671956" y="106577"/>
                <a:pt x="672869" y="75668"/>
                <a:pt x="685994" y="58168"/>
              </a:cubicBezTo>
              <a:cubicBezTo>
                <a:pt x="697300" y="43093"/>
                <a:pt x="717005" y="36163"/>
                <a:pt x="734468" y="29084"/>
              </a:cubicBezTo>
              <a:cubicBezTo>
                <a:pt x="792062" y="5735"/>
                <a:pt x="811159" y="9415"/>
                <a:pt x="870193" y="6463"/>
              </a:cubicBezTo>
              <a:cubicBezTo>
                <a:pt x="888489" y="8615"/>
                <a:pt x="935425" y="8631"/>
                <a:pt x="954213" y="25853"/>
              </a:cubicBezTo>
              <a:cubicBezTo>
                <a:pt x="960260" y="31396"/>
                <a:pt x="960676" y="40933"/>
                <a:pt x="963908" y="48473"/>
              </a:cubicBezTo>
              <a:cubicBezTo>
                <a:pt x="951746" y="72796"/>
                <a:pt x="954444" y="87252"/>
                <a:pt x="925129" y="87252"/>
              </a:cubicBezTo>
              <a:cubicBezTo>
                <a:pt x="919328" y="87252"/>
                <a:pt x="914357" y="82943"/>
                <a:pt x="908971" y="80789"/>
              </a:cubicBezTo>
              <a:cubicBezTo>
                <a:pt x="904662" y="74326"/>
                <a:pt x="898657" y="68715"/>
                <a:pt x="896045" y="61400"/>
              </a:cubicBezTo>
              <a:cubicBezTo>
                <a:pt x="891876" y="49726"/>
                <a:pt x="889735" y="30296"/>
                <a:pt x="899277" y="19390"/>
              </a:cubicBezTo>
              <a:cubicBezTo>
                <a:pt x="903413" y="14663"/>
                <a:pt x="910048" y="12927"/>
                <a:pt x="915434" y="9695"/>
              </a:cubicBezTo>
              <a:cubicBezTo>
                <a:pt x="953123" y="14720"/>
                <a:pt x="966351" y="6494"/>
                <a:pt x="986529" y="38779"/>
              </a:cubicBezTo>
              <a:cubicBezTo>
                <a:pt x="991945" y="47445"/>
                <a:pt x="992992" y="58168"/>
                <a:pt x="996223" y="67863"/>
              </a:cubicBezTo>
              <a:cubicBezTo>
                <a:pt x="998736" y="87965"/>
                <a:pt x="1004420" y="113447"/>
                <a:pt x="992992" y="132494"/>
              </a:cubicBezTo>
              <a:cubicBezTo>
                <a:pt x="988771" y="139528"/>
                <a:pt x="977911" y="138957"/>
                <a:pt x="970371" y="142188"/>
              </a:cubicBezTo>
              <a:cubicBezTo>
                <a:pt x="960676" y="141111"/>
                <a:pt x="950485" y="142203"/>
                <a:pt x="941287" y="138957"/>
              </a:cubicBezTo>
              <a:cubicBezTo>
                <a:pt x="918894" y="131054"/>
                <a:pt x="913169" y="120081"/>
                <a:pt x="899277" y="103410"/>
              </a:cubicBezTo>
              <a:cubicBezTo>
                <a:pt x="898200" y="98024"/>
                <a:pt x="896045" y="92745"/>
                <a:pt x="896045" y="87252"/>
              </a:cubicBezTo>
              <a:cubicBezTo>
                <a:pt x="896045" y="81759"/>
                <a:pt x="893784" y="71094"/>
                <a:pt x="899277" y="71094"/>
              </a:cubicBezTo>
              <a:cubicBezTo>
                <a:pt x="905558" y="71094"/>
                <a:pt x="905740" y="81866"/>
                <a:pt x="908971" y="87252"/>
              </a:cubicBezTo>
              <a:cubicBezTo>
                <a:pt x="905740" y="100178"/>
                <a:pt x="907156" y="115286"/>
                <a:pt x="899277" y="126031"/>
              </a:cubicBezTo>
              <a:cubicBezTo>
                <a:pt x="883236" y="147905"/>
                <a:pt x="811019" y="126365"/>
                <a:pt x="808793" y="126031"/>
              </a:cubicBezTo>
              <a:cubicBezTo>
                <a:pt x="791651" y="111337"/>
                <a:pt x="784935" y="108017"/>
                <a:pt x="773246" y="90484"/>
              </a:cubicBezTo>
              <a:cubicBezTo>
                <a:pt x="770574" y="86476"/>
                <a:pt x="768937" y="81866"/>
                <a:pt x="766783" y="77557"/>
              </a:cubicBezTo>
              <a:cubicBezTo>
                <a:pt x="782063" y="67371"/>
                <a:pt x="776559" y="66564"/>
                <a:pt x="795867" y="87252"/>
              </a:cubicBezTo>
              <a:cubicBezTo>
                <a:pt x="812915" y="105519"/>
                <a:pt x="840255" y="144416"/>
                <a:pt x="850803" y="164809"/>
              </a:cubicBezTo>
              <a:cubicBezTo>
                <a:pt x="858798" y="180266"/>
                <a:pt x="863730" y="197125"/>
                <a:pt x="870193" y="213283"/>
              </a:cubicBezTo>
              <a:cubicBezTo>
                <a:pt x="871270" y="226209"/>
                <a:pt x="876096" y="239368"/>
                <a:pt x="873424" y="252061"/>
              </a:cubicBezTo>
              <a:cubicBezTo>
                <a:pt x="868469" y="275596"/>
                <a:pt x="845849" y="279757"/>
                <a:pt x="828183" y="287608"/>
              </a:cubicBezTo>
              <a:cubicBezTo>
                <a:pt x="813102" y="285454"/>
                <a:pt x="797085" y="286803"/>
                <a:pt x="782941" y="281145"/>
              </a:cubicBezTo>
              <a:cubicBezTo>
                <a:pt x="778817" y="279496"/>
                <a:pt x="779709" y="272660"/>
                <a:pt x="779709" y="268219"/>
              </a:cubicBezTo>
              <a:cubicBezTo>
                <a:pt x="779709" y="242166"/>
                <a:pt x="777802" y="246882"/>
                <a:pt x="795867" y="242367"/>
              </a:cubicBezTo>
              <a:cubicBezTo>
                <a:pt x="805562" y="244521"/>
                <a:pt x="815632" y="245397"/>
                <a:pt x="824951" y="248830"/>
              </a:cubicBezTo>
              <a:cubicBezTo>
                <a:pt x="844574" y="256059"/>
                <a:pt x="867603" y="270055"/>
                <a:pt x="883119" y="284377"/>
              </a:cubicBezTo>
              <a:cubicBezTo>
                <a:pt x="889301" y="290083"/>
                <a:pt x="893891" y="297303"/>
                <a:pt x="899277" y="303766"/>
              </a:cubicBezTo>
              <a:cubicBezTo>
                <a:pt x="901431" y="309152"/>
                <a:pt x="903703" y="314492"/>
                <a:pt x="905740" y="319924"/>
              </a:cubicBezTo>
              <a:cubicBezTo>
                <a:pt x="906936" y="323114"/>
                <a:pt x="911380" y="327210"/>
                <a:pt x="908971" y="329619"/>
              </a:cubicBezTo>
              <a:cubicBezTo>
                <a:pt x="905087" y="333503"/>
                <a:pt x="898200" y="331773"/>
                <a:pt x="892814" y="332850"/>
              </a:cubicBezTo>
              <a:cubicBezTo>
                <a:pt x="890659" y="326387"/>
                <a:pt x="886350" y="320274"/>
                <a:pt x="886350" y="313461"/>
              </a:cubicBezTo>
              <a:cubicBezTo>
                <a:pt x="886350" y="309577"/>
                <a:pt x="888936" y="303551"/>
                <a:pt x="892814" y="303766"/>
              </a:cubicBezTo>
              <a:cubicBezTo>
                <a:pt x="910552" y="304751"/>
                <a:pt x="927283" y="312383"/>
                <a:pt x="944518" y="316692"/>
              </a:cubicBezTo>
              <a:cubicBezTo>
                <a:pt x="953136" y="325310"/>
                <a:pt x="974225" y="354107"/>
                <a:pt x="970371" y="342545"/>
              </a:cubicBezTo>
              <a:lnTo>
                <a:pt x="967139" y="332850"/>
              </a:lnTo>
              <a:cubicBezTo>
                <a:pt x="966062" y="326387"/>
                <a:pt x="961475" y="319545"/>
                <a:pt x="963908" y="313461"/>
              </a:cubicBezTo>
              <a:cubicBezTo>
                <a:pt x="965173" y="310299"/>
                <a:pt x="971622" y="313920"/>
                <a:pt x="973602" y="316692"/>
              </a:cubicBezTo>
              <a:cubicBezTo>
                <a:pt x="977562" y="322236"/>
                <a:pt x="984884" y="340899"/>
                <a:pt x="980066" y="336082"/>
              </a:cubicBezTo>
              <a:lnTo>
                <a:pt x="973602" y="329619"/>
              </a:lnTo>
              <a:cubicBezTo>
                <a:pt x="986922" y="356258"/>
                <a:pt x="981479" y="340620"/>
                <a:pt x="986529" y="368397"/>
              </a:cubicBezTo>
              <a:cubicBezTo>
                <a:pt x="987512" y="373801"/>
                <a:pt x="992216" y="379642"/>
                <a:pt x="989760" y="384555"/>
              </a:cubicBezTo>
              <a:cubicBezTo>
                <a:pt x="988237" y="387602"/>
                <a:pt x="983297" y="382400"/>
                <a:pt x="980066" y="381323"/>
              </a:cubicBezTo>
              <a:cubicBezTo>
                <a:pt x="977911" y="377014"/>
                <a:pt x="975294" y="372908"/>
                <a:pt x="973602" y="368397"/>
              </a:cubicBezTo>
              <a:cubicBezTo>
                <a:pt x="972043" y="364239"/>
                <a:pt x="966398" y="357457"/>
                <a:pt x="970371" y="355471"/>
              </a:cubicBezTo>
              <a:cubicBezTo>
                <a:pt x="974459" y="353428"/>
                <a:pt x="976834" y="361934"/>
                <a:pt x="980066" y="365166"/>
              </a:cubicBezTo>
              <a:cubicBezTo>
                <a:pt x="993943" y="406796"/>
                <a:pt x="980616" y="364144"/>
                <a:pt x="989760" y="400713"/>
              </a:cubicBezTo>
              <a:cubicBezTo>
                <a:pt x="990837" y="405022"/>
                <a:pt x="988590" y="413052"/>
                <a:pt x="992992" y="413639"/>
              </a:cubicBezTo>
              <a:lnTo>
                <a:pt x="1041465" y="420102"/>
              </a:lnTo>
              <a:cubicBezTo>
                <a:pt x="1046897" y="420917"/>
                <a:pt x="1052237" y="422257"/>
                <a:pt x="1057623" y="423334"/>
              </a:cubicBezTo>
              <a:cubicBezTo>
                <a:pt x="1056546" y="420102"/>
                <a:pt x="1056800" y="416048"/>
                <a:pt x="1054391" y="413639"/>
              </a:cubicBezTo>
              <a:cubicBezTo>
                <a:pt x="1025642" y="384890"/>
                <a:pt x="1026669" y="391774"/>
                <a:pt x="996223" y="374860"/>
              </a:cubicBezTo>
              <a:cubicBezTo>
                <a:pt x="985242" y="368760"/>
                <a:pt x="974889" y="361571"/>
                <a:pt x="963908" y="355471"/>
              </a:cubicBezTo>
              <a:cubicBezTo>
                <a:pt x="955486" y="350792"/>
                <a:pt x="946556" y="347079"/>
                <a:pt x="938055" y="342545"/>
              </a:cubicBezTo>
              <a:cubicBezTo>
                <a:pt x="930392" y="338458"/>
                <a:pt x="923109" y="333682"/>
                <a:pt x="915434" y="329619"/>
              </a:cubicBezTo>
              <a:cubicBezTo>
                <a:pt x="861217" y="300916"/>
                <a:pt x="902351" y="322727"/>
                <a:pt x="866961" y="306998"/>
              </a:cubicBezTo>
              <a:cubicBezTo>
                <a:pt x="862559" y="305042"/>
                <a:pt x="858463" y="302433"/>
                <a:pt x="854035" y="300535"/>
              </a:cubicBezTo>
              <a:cubicBezTo>
                <a:pt x="850904" y="299193"/>
                <a:pt x="841723" y="295122"/>
                <a:pt x="844340" y="297303"/>
              </a:cubicBezTo>
              <a:cubicBezTo>
                <a:pt x="867512" y="316612"/>
                <a:pt x="869142" y="315264"/>
                <a:pt x="892814" y="323155"/>
              </a:cubicBezTo>
              <a:cubicBezTo>
                <a:pt x="898943" y="325198"/>
                <a:pt x="909345" y="328942"/>
                <a:pt x="915434" y="329619"/>
              </a:cubicBezTo>
              <a:cubicBezTo>
                <a:pt x="930461" y="331289"/>
                <a:pt x="945609" y="331594"/>
                <a:pt x="960676" y="332850"/>
              </a:cubicBezTo>
              <a:cubicBezTo>
                <a:pt x="971464" y="333749"/>
                <a:pt x="982220" y="335005"/>
                <a:pt x="992992" y="336082"/>
              </a:cubicBezTo>
              <a:cubicBezTo>
                <a:pt x="1023153" y="335005"/>
                <a:pt x="1053347" y="334622"/>
                <a:pt x="1083475" y="332850"/>
              </a:cubicBezTo>
              <a:cubicBezTo>
                <a:pt x="1090016" y="332465"/>
                <a:pt x="1096543" y="331343"/>
                <a:pt x="1102864" y="329619"/>
              </a:cubicBezTo>
              <a:cubicBezTo>
                <a:pt x="1159897" y="314064"/>
                <a:pt x="1089243" y="331494"/>
                <a:pt x="1128717" y="316692"/>
              </a:cubicBezTo>
              <a:cubicBezTo>
                <a:pt x="1133860" y="314764"/>
                <a:pt x="1139489" y="314538"/>
                <a:pt x="1144875" y="313461"/>
              </a:cubicBezTo>
              <a:cubicBezTo>
                <a:pt x="1145952" y="310229"/>
                <a:pt x="1149629" y="306813"/>
                <a:pt x="1148106" y="303766"/>
              </a:cubicBezTo>
              <a:cubicBezTo>
                <a:pt x="1142513" y="292581"/>
                <a:pt x="1134566" y="304380"/>
                <a:pt x="1131948" y="306998"/>
              </a:cubicBezTo>
              <a:cubicBezTo>
                <a:pt x="1128717" y="302689"/>
                <a:pt x="1126062" y="297880"/>
                <a:pt x="1122254" y="294071"/>
              </a:cubicBezTo>
              <a:cubicBezTo>
                <a:pt x="1099201" y="271017"/>
                <a:pt x="1072389" y="268674"/>
                <a:pt x="1044697" y="245598"/>
              </a:cubicBezTo>
              <a:cubicBezTo>
                <a:pt x="1022323" y="226954"/>
                <a:pt x="1032307" y="234107"/>
                <a:pt x="1015613" y="222977"/>
              </a:cubicBezTo>
              <a:cubicBezTo>
                <a:pt x="1016690" y="228363"/>
                <a:pt x="1017107" y="233924"/>
                <a:pt x="1018844" y="239135"/>
              </a:cubicBezTo>
              <a:cubicBezTo>
                <a:pt x="1021438" y="246918"/>
                <a:pt x="1025594" y="254099"/>
                <a:pt x="1028539" y="261756"/>
              </a:cubicBezTo>
              <a:cubicBezTo>
                <a:pt x="1030985" y="268114"/>
                <a:pt x="1032848" y="274682"/>
                <a:pt x="1035002" y="281145"/>
              </a:cubicBezTo>
              <a:cubicBezTo>
                <a:pt x="1036079" y="287608"/>
                <a:pt x="1036948" y="294110"/>
                <a:pt x="1038233" y="300535"/>
              </a:cubicBezTo>
              <a:cubicBezTo>
                <a:pt x="1039104" y="304890"/>
                <a:pt x="1045273" y="315746"/>
                <a:pt x="1041465" y="313461"/>
              </a:cubicBezTo>
              <a:cubicBezTo>
                <a:pt x="1032949" y="308351"/>
                <a:pt x="1027684" y="299036"/>
                <a:pt x="1022076" y="290840"/>
              </a:cubicBezTo>
              <a:cubicBezTo>
                <a:pt x="1001738" y="261116"/>
                <a:pt x="1003278" y="263527"/>
                <a:pt x="996223" y="242367"/>
              </a:cubicBezTo>
              <a:cubicBezTo>
                <a:pt x="995146" y="247753"/>
                <a:pt x="992385" y="253065"/>
                <a:pt x="992992" y="258524"/>
              </a:cubicBezTo>
              <a:cubicBezTo>
                <a:pt x="993907" y="266759"/>
                <a:pt x="1005459" y="278227"/>
                <a:pt x="1009149" y="284377"/>
              </a:cubicBezTo>
              <a:cubicBezTo>
                <a:pt x="1014244" y="292869"/>
                <a:pt x="1025385" y="317826"/>
                <a:pt x="1028539" y="326387"/>
              </a:cubicBezTo>
              <a:cubicBezTo>
                <a:pt x="1033249" y="339172"/>
                <a:pt x="1041465" y="365166"/>
                <a:pt x="1041465" y="365166"/>
              </a:cubicBezTo>
              <a:cubicBezTo>
                <a:pt x="1025274" y="386753"/>
                <a:pt x="1037295" y="379612"/>
                <a:pt x="1012381" y="358702"/>
              </a:cubicBezTo>
              <a:cubicBezTo>
                <a:pt x="981140" y="332482"/>
                <a:pt x="817477" y="202577"/>
                <a:pt x="766783" y="151883"/>
              </a:cubicBezTo>
              <a:cubicBezTo>
                <a:pt x="751702" y="136802"/>
                <a:pt x="735630" y="122652"/>
                <a:pt x="721541" y="106641"/>
              </a:cubicBezTo>
              <a:cubicBezTo>
                <a:pt x="711862" y="95642"/>
                <a:pt x="685329" y="81454"/>
                <a:pt x="695689" y="71094"/>
              </a:cubicBezTo>
              <a:cubicBezTo>
                <a:pt x="706271" y="60513"/>
                <a:pt x="722717" y="84449"/>
                <a:pt x="734468" y="93715"/>
              </a:cubicBezTo>
              <a:cubicBezTo>
                <a:pt x="778875" y="128728"/>
                <a:pt x="825251" y="162149"/>
                <a:pt x="863730" y="203588"/>
              </a:cubicBezTo>
              <a:cubicBezTo>
                <a:pt x="891737" y="233749"/>
                <a:pt x="922655" y="261447"/>
                <a:pt x="947750" y="294071"/>
              </a:cubicBezTo>
              <a:lnTo>
                <a:pt x="980066" y="336082"/>
              </a:lnTo>
              <a:cubicBezTo>
                <a:pt x="976834" y="327464"/>
                <a:pt x="974060" y="318661"/>
                <a:pt x="970371" y="310229"/>
              </a:cubicBezTo>
              <a:cubicBezTo>
                <a:pt x="966509" y="301402"/>
                <a:pt x="961023" y="293322"/>
                <a:pt x="957445" y="284377"/>
              </a:cubicBezTo>
              <a:cubicBezTo>
                <a:pt x="954533" y="277096"/>
                <a:pt x="953235" y="269267"/>
                <a:pt x="950982" y="261756"/>
              </a:cubicBezTo>
              <a:cubicBezTo>
                <a:pt x="950003" y="258493"/>
                <a:pt x="945439" y="249558"/>
                <a:pt x="947750" y="252061"/>
              </a:cubicBezTo>
              <a:cubicBezTo>
                <a:pt x="988646" y="296365"/>
                <a:pt x="1027185" y="342789"/>
                <a:pt x="1067317" y="387786"/>
              </a:cubicBezTo>
              <a:cubicBezTo>
                <a:pt x="1098281" y="422503"/>
                <a:pt x="1130197" y="456364"/>
                <a:pt x="1161032" y="491196"/>
              </a:cubicBezTo>
              <a:cubicBezTo>
                <a:pt x="1218265" y="555848"/>
                <a:pt x="1244137" y="582354"/>
                <a:pt x="1287063" y="649542"/>
              </a:cubicBezTo>
              <a:cubicBezTo>
                <a:pt x="1297709" y="666206"/>
                <a:pt x="1307024" y="683703"/>
                <a:pt x="1316147" y="701247"/>
              </a:cubicBezTo>
              <a:cubicBezTo>
                <a:pt x="1321041" y="710660"/>
                <a:pt x="1335439" y="721844"/>
                <a:pt x="1329073" y="730331"/>
              </a:cubicBezTo>
              <a:cubicBezTo>
                <a:pt x="1323513" y="737744"/>
                <a:pt x="1313992" y="719559"/>
                <a:pt x="1306452" y="714173"/>
              </a:cubicBezTo>
              <a:lnTo>
                <a:pt x="1248284" y="630153"/>
              </a:lnTo>
              <a:cubicBezTo>
                <a:pt x="1220422" y="589522"/>
                <a:pt x="1238924" y="613606"/>
                <a:pt x="1215969" y="584911"/>
              </a:cubicBezTo>
              <a:cubicBezTo>
                <a:pt x="1215969" y="584911"/>
                <a:pt x="1222613" y="595578"/>
                <a:pt x="1225663" y="601069"/>
              </a:cubicBezTo>
              <a:cubicBezTo>
                <a:pt x="1228003" y="605280"/>
                <a:pt x="1230229" y="609567"/>
                <a:pt x="1232127" y="613995"/>
              </a:cubicBezTo>
              <a:cubicBezTo>
                <a:pt x="1233469" y="617126"/>
                <a:pt x="1237575" y="626276"/>
                <a:pt x="1235358" y="623690"/>
              </a:cubicBezTo>
              <a:cubicBezTo>
                <a:pt x="1226801" y="613707"/>
                <a:pt x="1220754" y="601796"/>
                <a:pt x="1212737" y="591374"/>
              </a:cubicBezTo>
              <a:cubicBezTo>
                <a:pt x="1199197" y="573772"/>
                <a:pt x="1185447" y="556297"/>
                <a:pt x="1170727" y="539669"/>
              </a:cubicBezTo>
              <a:cubicBezTo>
                <a:pt x="1127261" y="490569"/>
                <a:pt x="1079919" y="444870"/>
                <a:pt x="1038233" y="394250"/>
              </a:cubicBezTo>
              <a:cubicBezTo>
                <a:pt x="1023153" y="375938"/>
                <a:pt x="1007402" y="358157"/>
                <a:pt x="992992" y="339313"/>
              </a:cubicBezTo>
              <a:cubicBezTo>
                <a:pt x="979376" y="321508"/>
                <a:pt x="954213" y="284377"/>
                <a:pt x="954213" y="284377"/>
              </a:cubicBezTo>
              <a:cubicBezTo>
                <a:pt x="953136" y="281145"/>
                <a:pt x="953139" y="277318"/>
                <a:pt x="950982" y="274682"/>
              </a:cubicBezTo>
              <a:cubicBezTo>
                <a:pt x="943265" y="265250"/>
                <a:pt x="933001" y="258133"/>
                <a:pt x="925129" y="248830"/>
              </a:cubicBezTo>
              <a:cubicBezTo>
                <a:pt x="913280" y="234827"/>
                <a:pt x="902207" y="220128"/>
                <a:pt x="889582" y="206820"/>
              </a:cubicBezTo>
              <a:cubicBezTo>
                <a:pt x="862322" y="178086"/>
                <a:pt x="836706" y="147269"/>
                <a:pt x="805562" y="122799"/>
              </a:cubicBezTo>
              <a:cubicBezTo>
                <a:pt x="790481" y="110950"/>
                <a:pt x="779238" y="90404"/>
                <a:pt x="760320" y="87252"/>
              </a:cubicBezTo>
              <a:cubicBezTo>
                <a:pt x="727434" y="81772"/>
                <a:pt x="752107" y="85449"/>
                <a:pt x="708615" y="80789"/>
              </a:cubicBezTo>
              <a:cubicBezTo>
                <a:pt x="689217" y="78711"/>
                <a:pt x="669914" y="75596"/>
                <a:pt x="650447" y="74326"/>
              </a:cubicBezTo>
              <a:cubicBezTo>
                <a:pt x="620331" y="72362"/>
                <a:pt x="590125" y="72171"/>
                <a:pt x="559964" y="71094"/>
              </a:cubicBezTo>
              <a:cubicBezTo>
                <a:pt x="468439" y="74047"/>
                <a:pt x="463926" y="71282"/>
                <a:pt x="378997" y="84021"/>
              </a:cubicBezTo>
              <a:cubicBezTo>
                <a:pt x="362702" y="86465"/>
                <a:pt x="346655" y="90354"/>
                <a:pt x="330524" y="93715"/>
              </a:cubicBezTo>
              <a:cubicBezTo>
                <a:pt x="298296" y="100429"/>
                <a:pt x="309190" y="97078"/>
                <a:pt x="285282" y="106641"/>
              </a:cubicBezTo>
              <a:cubicBezTo>
                <a:pt x="283128" y="108796"/>
                <a:pt x="280434" y="110521"/>
                <a:pt x="278819" y="113105"/>
              </a:cubicBezTo>
              <a:cubicBezTo>
                <a:pt x="274989" y="119233"/>
                <a:pt x="273925" y="127093"/>
                <a:pt x="269124" y="132494"/>
              </a:cubicBezTo>
              <a:cubicBezTo>
                <a:pt x="247870" y="156404"/>
                <a:pt x="221867" y="175886"/>
                <a:pt x="201261" y="200356"/>
              </a:cubicBezTo>
              <a:lnTo>
                <a:pt x="149557" y="261756"/>
              </a:lnTo>
              <a:cubicBezTo>
                <a:pt x="145141" y="267055"/>
                <a:pt x="129938" y="279587"/>
                <a:pt x="136630" y="277914"/>
              </a:cubicBezTo>
              <a:lnTo>
                <a:pt x="162483" y="271451"/>
              </a:lnTo>
              <a:cubicBezTo>
                <a:pt x="170023" y="267142"/>
                <a:pt x="177122" y="261945"/>
                <a:pt x="185104" y="258524"/>
              </a:cubicBezTo>
              <a:cubicBezTo>
                <a:pt x="192312" y="255435"/>
                <a:pt x="200285" y="254541"/>
                <a:pt x="207725" y="252061"/>
              </a:cubicBezTo>
              <a:cubicBezTo>
                <a:pt x="213228" y="250227"/>
                <a:pt x="218496" y="247752"/>
                <a:pt x="223882" y="245598"/>
              </a:cubicBezTo>
              <a:cubicBezTo>
                <a:pt x="241749" y="258998"/>
                <a:pt x="241402" y="252196"/>
                <a:pt x="227114" y="277914"/>
              </a:cubicBezTo>
              <a:cubicBezTo>
                <a:pt x="200573" y="325687"/>
                <a:pt x="190735" y="333104"/>
                <a:pt x="172177" y="374860"/>
              </a:cubicBezTo>
              <a:cubicBezTo>
                <a:pt x="171558" y="376252"/>
                <a:pt x="174434" y="372799"/>
                <a:pt x="175409" y="371629"/>
              </a:cubicBezTo>
              <a:cubicBezTo>
                <a:pt x="180795" y="365166"/>
                <a:pt x="185618" y="358188"/>
                <a:pt x="191567" y="352239"/>
              </a:cubicBezTo>
              <a:cubicBezTo>
                <a:pt x="195375" y="348431"/>
                <a:pt x="200184" y="345776"/>
                <a:pt x="204493" y="342545"/>
              </a:cubicBezTo>
              <a:cubicBezTo>
                <a:pt x="202339" y="352240"/>
                <a:pt x="201811" y="362446"/>
                <a:pt x="198030" y="371629"/>
              </a:cubicBezTo>
              <a:cubicBezTo>
                <a:pt x="194161" y="381026"/>
                <a:pt x="187779" y="389212"/>
                <a:pt x="181872" y="397481"/>
              </a:cubicBezTo>
              <a:cubicBezTo>
                <a:pt x="172333" y="410835"/>
                <a:pt x="166478" y="416106"/>
                <a:pt x="156020" y="426565"/>
              </a:cubicBezTo>
              <a:cubicBezTo>
                <a:pt x="161329" y="413291"/>
                <a:pt x="161931" y="407727"/>
                <a:pt x="172177" y="397481"/>
              </a:cubicBezTo>
              <a:cubicBezTo>
                <a:pt x="174923" y="394735"/>
                <a:pt x="178640" y="393172"/>
                <a:pt x="181872" y="391018"/>
              </a:cubicBezTo>
              <a:cubicBezTo>
                <a:pt x="165167" y="431110"/>
                <a:pt x="168363" y="429668"/>
                <a:pt x="143093" y="465344"/>
              </a:cubicBezTo>
              <a:cubicBezTo>
                <a:pt x="132881" y="479761"/>
                <a:pt x="104217" y="523757"/>
                <a:pt x="110778" y="507354"/>
              </a:cubicBezTo>
              <a:cubicBezTo>
                <a:pt x="112932" y="501968"/>
                <a:pt x="114023" y="496023"/>
                <a:pt x="117241" y="491196"/>
              </a:cubicBezTo>
              <a:cubicBezTo>
                <a:pt x="120621" y="486126"/>
                <a:pt x="126202" y="482896"/>
                <a:pt x="130167" y="478270"/>
              </a:cubicBezTo>
              <a:cubicBezTo>
                <a:pt x="132695" y="475321"/>
                <a:pt x="134476" y="471807"/>
                <a:pt x="136630" y="468575"/>
              </a:cubicBezTo>
              <a:cubicBezTo>
                <a:pt x="141900" y="484384"/>
                <a:pt x="141815" y="478047"/>
                <a:pt x="133399" y="500891"/>
              </a:cubicBezTo>
              <a:cubicBezTo>
                <a:pt x="114333" y="552641"/>
                <a:pt x="120768" y="527524"/>
                <a:pt x="97852" y="578448"/>
              </a:cubicBezTo>
              <a:cubicBezTo>
                <a:pt x="94075" y="586841"/>
                <a:pt x="91067" y="595569"/>
                <a:pt x="88157" y="604300"/>
              </a:cubicBezTo>
              <a:cubicBezTo>
                <a:pt x="86752" y="608514"/>
                <a:pt x="80953" y="615240"/>
                <a:pt x="84926" y="617227"/>
              </a:cubicBezTo>
              <a:cubicBezTo>
                <a:pt x="89013" y="619271"/>
                <a:pt x="96065" y="603197"/>
                <a:pt x="94620" y="607532"/>
              </a:cubicBezTo>
              <a:cubicBezTo>
                <a:pt x="92163" y="614901"/>
                <a:pt x="86430" y="620764"/>
                <a:pt x="81694" y="626921"/>
              </a:cubicBezTo>
              <a:cubicBezTo>
                <a:pt x="70922" y="640924"/>
                <a:pt x="59701" y="654593"/>
                <a:pt x="49378" y="668931"/>
              </a:cubicBezTo>
              <a:cubicBezTo>
                <a:pt x="40301" y="681539"/>
                <a:pt x="32622" y="695116"/>
                <a:pt x="23526" y="707710"/>
              </a:cubicBezTo>
              <a:cubicBezTo>
                <a:pt x="18600" y="714530"/>
                <a:pt x="12193" y="720207"/>
                <a:pt x="7368" y="727099"/>
              </a:cubicBezTo>
              <a:cubicBezTo>
                <a:pt x="4605" y="731046"/>
                <a:pt x="-2502" y="743432"/>
                <a:pt x="905" y="740026"/>
              </a:cubicBezTo>
              <a:cubicBezTo>
                <a:pt x="8522" y="732409"/>
                <a:pt x="13517" y="722546"/>
                <a:pt x="20295" y="714173"/>
              </a:cubicBezTo>
              <a:cubicBezTo>
                <a:pt x="31837" y="699915"/>
                <a:pt x="47638" y="688570"/>
                <a:pt x="55842" y="672163"/>
              </a:cubicBezTo>
              <a:cubicBezTo>
                <a:pt x="57996" y="667854"/>
                <a:pt x="67122" y="659237"/>
                <a:pt x="62305" y="659237"/>
              </a:cubicBezTo>
              <a:cubicBezTo>
                <a:pt x="56919" y="659237"/>
                <a:pt x="56419" y="668355"/>
                <a:pt x="52610" y="672163"/>
              </a:cubicBezTo>
              <a:cubicBezTo>
                <a:pt x="49863" y="674909"/>
                <a:pt x="56386" y="665272"/>
                <a:pt x="59073" y="662468"/>
              </a:cubicBezTo>
              <a:cubicBezTo>
                <a:pt x="81208" y="639371"/>
                <a:pt x="102647" y="615426"/>
                <a:pt x="126936" y="594606"/>
              </a:cubicBezTo>
              <a:cubicBezTo>
                <a:pt x="175835" y="552692"/>
                <a:pt x="154411" y="564709"/>
                <a:pt x="185104" y="549364"/>
              </a:cubicBezTo>
              <a:cubicBezTo>
                <a:pt x="184027" y="556904"/>
                <a:pt x="184061" y="564689"/>
                <a:pt x="181872" y="571985"/>
              </a:cubicBezTo>
              <a:cubicBezTo>
                <a:pt x="180756" y="575705"/>
                <a:pt x="179094" y="582908"/>
                <a:pt x="175409" y="581680"/>
              </a:cubicBezTo>
              <a:cubicBezTo>
                <a:pt x="171195" y="580275"/>
                <a:pt x="173254" y="573062"/>
                <a:pt x="172177" y="568753"/>
              </a:cubicBezTo>
              <a:cubicBezTo>
                <a:pt x="167868" y="574139"/>
                <a:pt x="161432" y="578367"/>
                <a:pt x="159251" y="584911"/>
              </a:cubicBezTo>
              <a:cubicBezTo>
                <a:pt x="158023" y="588596"/>
                <a:pt x="172178" y="576294"/>
                <a:pt x="168946" y="578448"/>
              </a:cubicBezTo>
              <a:lnTo>
                <a:pt x="159251" y="584911"/>
              </a:ln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804657</xdr:colOff>
      <xdr:row>526</xdr:row>
      <xdr:rowOff>174505</xdr:rowOff>
    </xdr:from>
    <xdr:to>
      <xdr:col>2</xdr:col>
      <xdr:colOff>35547</xdr:colOff>
      <xdr:row>527</xdr:row>
      <xdr:rowOff>48474</xdr:rowOff>
    </xdr:to>
    <xdr:sp macro="" textlink="">
      <xdr:nvSpPr>
        <xdr:cNvPr id="123" name="Oval 122">
          <a:extLst>
            <a:ext uri="{FF2B5EF4-FFF2-40B4-BE49-F238E27FC236}">
              <a16:creationId xmlns:a16="http://schemas.microsoft.com/office/drawing/2014/main" id="{3B73D302-406A-D6AA-D0F5-24019A2E8CAB}"/>
            </a:ext>
          </a:extLst>
        </xdr:cNvPr>
        <xdr:cNvSpPr/>
      </xdr:nvSpPr>
      <xdr:spPr>
        <a:xfrm flipH="1">
          <a:off x="13499482773" y="107840128"/>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730332</xdr:colOff>
      <xdr:row>527</xdr:row>
      <xdr:rowOff>1</xdr:rowOff>
    </xdr:from>
    <xdr:to>
      <xdr:col>1</xdr:col>
      <xdr:colOff>785268</xdr:colOff>
      <xdr:row>527</xdr:row>
      <xdr:rowOff>77558</xdr:rowOff>
    </xdr:to>
    <xdr:sp macro="" textlink="">
      <xdr:nvSpPr>
        <xdr:cNvPr id="124" name="Oval 123">
          <a:extLst>
            <a:ext uri="{FF2B5EF4-FFF2-40B4-BE49-F238E27FC236}">
              <a16:creationId xmlns:a16="http://schemas.microsoft.com/office/drawing/2014/main" id="{FA5E5C6D-9DCD-F049-D12F-EC60303A9303}"/>
            </a:ext>
          </a:extLst>
        </xdr:cNvPr>
        <xdr:cNvSpPr/>
      </xdr:nvSpPr>
      <xdr:spPr>
        <a:xfrm flipH="1">
          <a:off x="13499557098" y="10786921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630154</xdr:colOff>
      <xdr:row>527</xdr:row>
      <xdr:rowOff>9696</xdr:rowOff>
    </xdr:from>
    <xdr:to>
      <xdr:col>1</xdr:col>
      <xdr:colOff>685090</xdr:colOff>
      <xdr:row>527</xdr:row>
      <xdr:rowOff>87253</xdr:rowOff>
    </xdr:to>
    <xdr:sp macro="" textlink="">
      <xdr:nvSpPr>
        <xdr:cNvPr id="125" name="Oval 124">
          <a:extLst>
            <a:ext uri="{FF2B5EF4-FFF2-40B4-BE49-F238E27FC236}">
              <a16:creationId xmlns:a16="http://schemas.microsoft.com/office/drawing/2014/main" id="{D1719C1C-BC86-9B94-38EC-845FE5A8C12D}"/>
            </a:ext>
          </a:extLst>
        </xdr:cNvPr>
        <xdr:cNvSpPr/>
      </xdr:nvSpPr>
      <xdr:spPr>
        <a:xfrm flipH="1">
          <a:off x="13499657276" y="107878907"/>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517049</xdr:colOff>
      <xdr:row>527</xdr:row>
      <xdr:rowOff>2</xdr:rowOff>
    </xdr:from>
    <xdr:to>
      <xdr:col>1</xdr:col>
      <xdr:colOff>571985</xdr:colOff>
      <xdr:row>527</xdr:row>
      <xdr:rowOff>77559</xdr:rowOff>
    </xdr:to>
    <xdr:sp macro="" textlink="">
      <xdr:nvSpPr>
        <xdr:cNvPr id="126" name="Oval 125">
          <a:extLst>
            <a:ext uri="{FF2B5EF4-FFF2-40B4-BE49-F238E27FC236}">
              <a16:creationId xmlns:a16="http://schemas.microsoft.com/office/drawing/2014/main" id="{C7694BE6-2092-B2C9-828D-4F96D1443A9C}"/>
            </a:ext>
          </a:extLst>
        </xdr:cNvPr>
        <xdr:cNvSpPr/>
      </xdr:nvSpPr>
      <xdr:spPr>
        <a:xfrm flipH="1">
          <a:off x="13499770381" y="10786921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394250</xdr:colOff>
      <xdr:row>526</xdr:row>
      <xdr:rowOff>177738</xdr:rowOff>
    </xdr:from>
    <xdr:to>
      <xdr:col>1</xdr:col>
      <xdr:colOff>449186</xdr:colOff>
      <xdr:row>527</xdr:row>
      <xdr:rowOff>51707</xdr:rowOff>
    </xdr:to>
    <xdr:sp macro="" textlink="">
      <xdr:nvSpPr>
        <xdr:cNvPr id="127" name="Oval 126">
          <a:extLst>
            <a:ext uri="{FF2B5EF4-FFF2-40B4-BE49-F238E27FC236}">
              <a16:creationId xmlns:a16="http://schemas.microsoft.com/office/drawing/2014/main" id="{54C1A89D-5B52-5536-7D54-B6DC885A94A1}"/>
            </a:ext>
          </a:extLst>
        </xdr:cNvPr>
        <xdr:cNvSpPr/>
      </xdr:nvSpPr>
      <xdr:spPr>
        <a:xfrm flipH="1">
          <a:off x="13499893180" y="107843361"/>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300535</xdr:colOff>
      <xdr:row>526</xdr:row>
      <xdr:rowOff>116339</xdr:rowOff>
    </xdr:from>
    <xdr:to>
      <xdr:col>1</xdr:col>
      <xdr:colOff>355471</xdr:colOff>
      <xdr:row>526</xdr:row>
      <xdr:rowOff>193896</xdr:rowOff>
    </xdr:to>
    <xdr:sp macro="" textlink="">
      <xdr:nvSpPr>
        <xdr:cNvPr id="128" name="Oval 127">
          <a:extLst>
            <a:ext uri="{FF2B5EF4-FFF2-40B4-BE49-F238E27FC236}">
              <a16:creationId xmlns:a16="http://schemas.microsoft.com/office/drawing/2014/main" id="{4E85C6B3-52E7-1D76-BF3E-D6CE57C9A145}"/>
            </a:ext>
          </a:extLst>
        </xdr:cNvPr>
        <xdr:cNvSpPr/>
      </xdr:nvSpPr>
      <xdr:spPr>
        <a:xfrm flipH="1">
          <a:off x="13499986895" y="10778196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242367</xdr:colOff>
      <xdr:row>526</xdr:row>
      <xdr:rowOff>12929</xdr:rowOff>
    </xdr:from>
    <xdr:to>
      <xdr:col>1</xdr:col>
      <xdr:colOff>297303</xdr:colOff>
      <xdr:row>526</xdr:row>
      <xdr:rowOff>90486</xdr:rowOff>
    </xdr:to>
    <xdr:sp macro="" textlink="">
      <xdr:nvSpPr>
        <xdr:cNvPr id="129" name="Oval 128">
          <a:extLst>
            <a:ext uri="{FF2B5EF4-FFF2-40B4-BE49-F238E27FC236}">
              <a16:creationId xmlns:a16="http://schemas.microsoft.com/office/drawing/2014/main" id="{A7283E98-53CF-307A-73E7-BFBC3294DF1B}"/>
            </a:ext>
          </a:extLst>
        </xdr:cNvPr>
        <xdr:cNvSpPr/>
      </xdr:nvSpPr>
      <xdr:spPr>
        <a:xfrm flipH="1">
          <a:off x="13500045063" y="10767855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303767</xdr:colOff>
      <xdr:row>525</xdr:row>
      <xdr:rowOff>93717</xdr:rowOff>
    </xdr:from>
    <xdr:to>
      <xdr:col>1</xdr:col>
      <xdr:colOff>358703</xdr:colOff>
      <xdr:row>525</xdr:row>
      <xdr:rowOff>171274</xdr:rowOff>
    </xdr:to>
    <xdr:sp macro="" textlink="">
      <xdr:nvSpPr>
        <xdr:cNvPr id="130" name="Oval 129">
          <a:extLst>
            <a:ext uri="{FF2B5EF4-FFF2-40B4-BE49-F238E27FC236}">
              <a16:creationId xmlns:a16="http://schemas.microsoft.com/office/drawing/2014/main" id="{03C5BE3D-560A-8479-7969-F56D8368E95D}"/>
            </a:ext>
          </a:extLst>
        </xdr:cNvPr>
        <xdr:cNvSpPr/>
      </xdr:nvSpPr>
      <xdr:spPr>
        <a:xfrm flipH="1">
          <a:off x="13499983663"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484734</xdr:colOff>
      <xdr:row>525</xdr:row>
      <xdr:rowOff>93717</xdr:rowOff>
    </xdr:from>
    <xdr:to>
      <xdr:col>1</xdr:col>
      <xdr:colOff>539670</xdr:colOff>
      <xdr:row>525</xdr:row>
      <xdr:rowOff>171274</xdr:rowOff>
    </xdr:to>
    <xdr:sp macro="" textlink="">
      <xdr:nvSpPr>
        <xdr:cNvPr id="131" name="Oval 130">
          <a:extLst>
            <a:ext uri="{FF2B5EF4-FFF2-40B4-BE49-F238E27FC236}">
              <a16:creationId xmlns:a16="http://schemas.microsoft.com/office/drawing/2014/main" id="{20B4BC80-DF48-3025-0F89-433F7B73C7C3}"/>
            </a:ext>
          </a:extLst>
        </xdr:cNvPr>
        <xdr:cNvSpPr/>
      </xdr:nvSpPr>
      <xdr:spPr>
        <a:xfrm flipH="1">
          <a:off x="13499802696"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613996</xdr:colOff>
      <xdr:row>525</xdr:row>
      <xdr:rowOff>93717</xdr:rowOff>
    </xdr:from>
    <xdr:to>
      <xdr:col>1</xdr:col>
      <xdr:colOff>668932</xdr:colOff>
      <xdr:row>525</xdr:row>
      <xdr:rowOff>171274</xdr:rowOff>
    </xdr:to>
    <xdr:sp macro="" textlink="">
      <xdr:nvSpPr>
        <xdr:cNvPr id="132" name="Oval 131">
          <a:extLst>
            <a:ext uri="{FF2B5EF4-FFF2-40B4-BE49-F238E27FC236}">
              <a16:creationId xmlns:a16="http://schemas.microsoft.com/office/drawing/2014/main" id="{A07A6B99-CF2E-EA54-083F-9A0163C1635D}"/>
            </a:ext>
          </a:extLst>
        </xdr:cNvPr>
        <xdr:cNvSpPr/>
      </xdr:nvSpPr>
      <xdr:spPr>
        <a:xfrm flipH="1">
          <a:off x="13499673434" y="10755575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752953</xdr:colOff>
      <xdr:row>525</xdr:row>
      <xdr:rowOff>100180</xdr:rowOff>
    </xdr:from>
    <xdr:to>
      <xdr:col>1</xdr:col>
      <xdr:colOff>807889</xdr:colOff>
      <xdr:row>525</xdr:row>
      <xdr:rowOff>177737</xdr:rowOff>
    </xdr:to>
    <xdr:sp macro="" textlink="">
      <xdr:nvSpPr>
        <xdr:cNvPr id="133" name="Oval 132">
          <a:extLst>
            <a:ext uri="{FF2B5EF4-FFF2-40B4-BE49-F238E27FC236}">
              <a16:creationId xmlns:a16="http://schemas.microsoft.com/office/drawing/2014/main" id="{5598DC66-FD99-6A74-55BF-DC669B4E3633}"/>
            </a:ext>
          </a:extLst>
        </xdr:cNvPr>
        <xdr:cNvSpPr/>
      </xdr:nvSpPr>
      <xdr:spPr>
        <a:xfrm flipH="1">
          <a:off x="13499534477" y="107562216"/>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64632</xdr:colOff>
      <xdr:row>525</xdr:row>
      <xdr:rowOff>113107</xdr:rowOff>
    </xdr:from>
    <xdr:to>
      <xdr:col>2</xdr:col>
      <xdr:colOff>119568</xdr:colOff>
      <xdr:row>525</xdr:row>
      <xdr:rowOff>190664</xdr:rowOff>
    </xdr:to>
    <xdr:sp macro="" textlink="">
      <xdr:nvSpPr>
        <xdr:cNvPr id="134" name="Oval 133">
          <a:extLst>
            <a:ext uri="{FF2B5EF4-FFF2-40B4-BE49-F238E27FC236}">
              <a16:creationId xmlns:a16="http://schemas.microsoft.com/office/drawing/2014/main" id="{61B953AC-829A-4186-4461-B24F90CEA0DC}"/>
            </a:ext>
          </a:extLst>
        </xdr:cNvPr>
        <xdr:cNvSpPr/>
      </xdr:nvSpPr>
      <xdr:spPr>
        <a:xfrm flipH="1">
          <a:off x="13499398752" y="107575143"/>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126031</xdr:colOff>
      <xdr:row>526</xdr:row>
      <xdr:rowOff>19393</xdr:rowOff>
    </xdr:from>
    <xdr:to>
      <xdr:col>2</xdr:col>
      <xdr:colOff>180967</xdr:colOff>
      <xdr:row>526</xdr:row>
      <xdr:rowOff>96950</xdr:rowOff>
    </xdr:to>
    <xdr:sp macro="" textlink="">
      <xdr:nvSpPr>
        <xdr:cNvPr id="135" name="Oval 134">
          <a:extLst>
            <a:ext uri="{FF2B5EF4-FFF2-40B4-BE49-F238E27FC236}">
              <a16:creationId xmlns:a16="http://schemas.microsoft.com/office/drawing/2014/main" id="{58C8BBE3-5D6D-A78E-5659-F59A0CBE418A}"/>
            </a:ext>
          </a:extLst>
        </xdr:cNvPr>
        <xdr:cNvSpPr/>
      </xdr:nvSpPr>
      <xdr:spPr>
        <a:xfrm flipH="1">
          <a:off x="13499337353" y="107685016"/>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51706</xdr:colOff>
      <xdr:row>526</xdr:row>
      <xdr:rowOff>93719</xdr:rowOff>
    </xdr:from>
    <xdr:to>
      <xdr:col>2</xdr:col>
      <xdr:colOff>106642</xdr:colOff>
      <xdr:row>526</xdr:row>
      <xdr:rowOff>171276</xdr:rowOff>
    </xdr:to>
    <xdr:sp macro="" textlink="">
      <xdr:nvSpPr>
        <xdr:cNvPr id="136" name="Oval 135">
          <a:extLst>
            <a:ext uri="{FF2B5EF4-FFF2-40B4-BE49-F238E27FC236}">
              <a16:creationId xmlns:a16="http://schemas.microsoft.com/office/drawing/2014/main" id="{C7E26060-0653-B420-5C3D-57140B0BEE4C}"/>
            </a:ext>
          </a:extLst>
        </xdr:cNvPr>
        <xdr:cNvSpPr/>
      </xdr:nvSpPr>
      <xdr:spPr>
        <a:xfrm flipH="1">
          <a:off x="13499411678" y="107759342"/>
          <a:ext cx="54936" cy="77557"/>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639839</xdr:colOff>
      <xdr:row>524</xdr:row>
      <xdr:rowOff>71094</xdr:rowOff>
    </xdr:from>
    <xdr:to>
      <xdr:col>1</xdr:col>
      <xdr:colOff>775572</xdr:colOff>
      <xdr:row>525</xdr:row>
      <xdr:rowOff>53532</xdr:rowOff>
    </xdr:to>
    <xdr:sp macro="" textlink="">
      <xdr:nvSpPr>
        <xdr:cNvPr id="137" name="Freeform 136">
          <a:extLst>
            <a:ext uri="{FF2B5EF4-FFF2-40B4-BE49-F238E27FC236}">
              <a16:creationId xmlns:a16="http://schemas.microsoft.com/office/drawing/2014/main" id="{CEC327E0-AADA-F217-B9C8-4C81469E0F26}"/>
            </a:ext>
          </a:extLst>
        </xdr:cNvPr>
        <xdr:cNvSpPr/>
      </xdr:nvSpPr>
      <xdr:spPr>
        <a:xfrm>
          <a:off x="13499566794" y="107329542"/>
          <a:ext cx="135733" cy="186026"/>
        </a:xfrm>
        <a:custGeom>
          <a:avLst/>
          <a:gdLst>
            <a:gd name="connsiteX0" fmla="*/ 126030 w 135733"/>
            <a:gd name="connsiteY0" fmla="*/ 0 h 186026"/>
            <a:gd name="connsiteX1" fmla="*/ 103410 w 135733"/>
            <a:gd name="connsiteY1" fmla="*/ 3232 h 186026"/>
            <a:gd name="connsiteX2" fmla="*/ 51705 w 135733"/>
            <a:gd name="connsiteY2" fmla="*/ 16158 h 186026"/>
            <a:gd name="connsiteX3" fmla="*/ 35547 w 135733"/>
            <a:gd name="connsiteY3" fmla="*/ 25852 h 186026"/>
            <a:gd name="connsiteX4" fmla="*/ 25852 w 135733"/>
            <a:gd name="connsiteY4" fmla="*/ 29084 h 186026"/>
            <a:gd name="connsiteX5" fmla="*/ 22621 w 135733"/>
            <a:gd name="connsiteY5" fmla="*/ 38779 h 186026"/>
            <a:gd name="connsiteX6" fmla="*/ 25852 w 135733"/>
            <a:gd name="connsiteY6" fmla="*/ 116336 h 186026"/>
            <a:gd name="connsiteX7" fmla="*/ 29084 w 135733"/>
            <a:gd name="connsiteY7" fmla="*/ 126031 h 186026"/>
            <a:gd name="connsiteX8" fmla="*/ 16158 w 135733"/>
            <a:gd name="connsiteY8" fmla="*/ 145420 h 186026"/>
            <a:gd name="connsiteX9" fmla="*/ 3231 w 135733"/>
            <a:gd name="connsiteY9" fmla="*/ 168041 h 186026"/>
            <a:gd name="connsiteX10" fmla="*/ 0 w 135733"/>
            <a:gd name="connsiteY10" fmla="*/ 177735 h 186026"/>
            <a:gd name="connsiteX11" fmla="*/ 9695 w 135733"/>
            <a:gd name="connsiteY11" fmla="*/ 184198 h 186026"/>
            <a:gd name="connsiteX12" fmla="*/ 38779 w 135733"/>
            <a:gd name="connsiteY12" fmla="*/ 171272 h 186026"/>
            <a:gd name="connsiteX13" fmla="*/ 48473 w 135733"/>
            <a:gd name="connsiteY13" fmla="*/ 168041 h 186026"/>
            <a:gd name="connsiteX14" fmla="*/ 103410 w 135733"/>
            <a:gd name="connsiteY14" fmla="*/ 174504 h 186026"/>
            <a:gd name="connsiteX15" fmla="*/ 116336 w 135733"/>
            <a:gd name="connsiteY15" fmla="*/ 177735 h 186026"/>
            <a:gd name="connsiteX16" fmla="*/ 135725 w 135733"/>
            <a:gd name="connsiteY16" fmla="*/ 180967 h 1860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Lst>
          <a:rect l="l" t="t" r="r" b="b"/>
          <a:pathLst>
            <a:path w="135733" h="186026">
              <a:moveTo>
                <a:pt x="126030" y="0"/>
              </a:moveTo>
              <a:cubicBezTo>
                <a:pt x="118490" y="1077"/>
                <a:pt x="110896" y="1828"/>
                <a:pt x="103410" y="3232"/>
              </a:cubicBezTo>
              <a:cubicBezTo>
                <a:pt x="79656" y="7686"/>
                <a:pt x="73621" y="9896"/>
                <a:pt x="51705" y="16158"/>
              </a:cubicBezTo>
              <a:cubicBezTo>
                <a:pt x="46319" y="19389"/>
                <a:pt x="41165" y="23043"/>
                <a:pt x="35547" y="25852"/>
              </a:cubicBezTo>
              <a:cubicBezTo>
                <a:pt x="32500" y="27375"/>
                <a:pt x="28261" y="26675"/>
                <a:pt x="25852" y="29084"/>
              </a:cubicBezTo>
              <a:cubicBezTo>
                <a:pt x="23443" y="31493"/>
                <a:pt x="23698" y="35547"/>
                <a:pt x="22621" y="38779"/>
              </a:cubicBezTo>
              <a:cubicBezTo>
                <a:pt x="23698" y="64631"/>
                <a:pt x="23941" y="90532"/>
                <a:pt x="25852" y="116336"/>
              </a:cubicBezTo>
              <a:cubicBezTo>
                <a:pt x="26104" y="119733"/>
                <a:pt x="29084" y="122624"/>
                <a:pt x="29084" y="126031"/>
              </a:cubicBezTo>
              <a:cubicBezTo>
                <a:pt x="29084" y="139942"/>
                <a:pt x="25897" y="138927"/>
                <a:pt x="16158" y="145420"/>
              </a:cubicBezTo>
              <a:cubicBezTo>
                <a:pt x="9668" y="155155"/>
                <a:pt x="8151" y="156562"/>
                <a:pt x="3231" y="168041"/>
              </a:cubicBezTo>
              <a:cubicBezTo>
                <a:pt x="1889" y="171172"/>
                <a:pt x="1077" y="174504"/>
                <a:pt x="0" y="177735"/>
              </a:cubicBezTo>
              <a:cubicBezTo>
                <a:pt x="3232" y="179889"/>
                <a:pt x="5811" y="184198"/>
                <a:pt x="9695" y="184198"/>
              </a:cubicBezTo>
              <a:cubicBezTo>
                <a:pt x="26368" y="184198"/>
                <a:pt x="27064" y="177129"/>
                <a:pt x="38779" y="171272"/>
              </a:cubicBezTo>
              <a:cubicBezTo>
                <a:pt x="41826" y="169749"/>
                <a:pt x="45242" y="169118"/>
                <a:pt x="48473" y="168041"/>
              </a:cubicBezTo>
              <a:cubicBezTo>
                <a:pt x="120841" y="173209"/>
                <a:pt x="74026" y="166109"/>
                <a:pt x="103410" y="174504"/>
              </a:cubicBezTo>
              <a:cubicBezTo>
                <a:pt x="107680" y="175724"/>
                <a:pt x="112082" y="176459"/>
                <a:pt x="116336" y="177735"/>
              </a:cubicBezTo>
              <a:cubicBezTo>
                <a:pt x="136747" y="183858"/>
                <a:pt x="135725" y="191118"/>
                <a:pt x="135725" y="180967"/>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67385</xdr:colOff>
      <xdr:row>523</xdr:row>
      <xdr:rowOff>200356</xdr:rowOff>
    </xdr:from>
    <xdr:to>
      <xdr:col>2</xdr:col>
      <xdr:colOff>113104</xdr:colOff>
      <xdr:row>524</xdr:row>
      <xdr:rowOff>51705</xdr:rowOff>
    </xdr:to>
    <xdr:sp macro="" textlink="">
      <xdr:nvSpPr>
        <xdr:cNvPr id="138" name="Oval 137">
          <a:extLst>
            <a:ext uri="{FF2B5EF4-FFF2-40B4-BE49-F238E27FC236}">
              <a16:creationId xmlns:a16="http://schemas.microsoft.com/office/drawing/2014/main" id="{C5BEFB4C-CF13-87DB-3DCF-57EA398A7061}"/>
            </a:ext>
          </a:extLst>
        </xdr:cNvPr>
        <xdr:cNvSpPr/>
      </xdr:nvSpPr>
      <xdr:spPr>
        <a:xfrm>
          <a:off x="13499405216" y="107255216"/>
          <a:ext cx="45719" cy="54937"/>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478270</xdr:colOff>
      <xdr:row>523</xdr:row>
      <xdr:rowOff>168043</xdr:rowOff>
    </xdr:from>
    <xdr:to>
      <xdr:col>1</xdr:col>
      <xdr:colOff>533206</xdr:colOff>
      <xdr:row>524</xdr:row>
      <xdr:rowOff>42012</xdr:rowOff>
    </xdr:to>
    <xdr:sp macro="" textlink="">
      <xdr:nvSpPr>
        <xdr:cNvPr id="139" name="Oval 138">
          <a:extLst>
            <a:ext uri="{FF2B5EF4-FFF2-40B4-BE49-F238E27FC236}">
              <a16:creationId xmlns:a16="http://schemas.microsoft.com/office/drawing/2014/main" id="{31B16004-BBEB-6CF0-926F-2984BA00A939}"/>
            </a:ext>
          </a:extLst>
        </xdr:cNvPr>
        <xdr:cNvSpPr/>
      </xdr:nvSpPr>
      <xdr:spPr>
        <a:xfrm flipH="1">
          <a:off x="13499809160" y="107222903"/>
          <a:ext cx="54936" cy="77557"/>
        </a:xfrm>
        <a:prstGeom prst="ellipse">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433027</xdr:colOff>
      <xdr:row>521</xdr:row>
      <xdr:rowOff>35548</xdr:rowOff>
    </xdr:from>
    <xdr:to>
      <xdr:col>7</xdr:col>
      <xdr:colOff>193892</xdr:colOff>
      <xdr:row>524</xdr:row>
      <xdr:rowOff>168041</xdr:rowOff>
    </xdr:to>
    <xdr:sp macro="" textlink="">
      <xdr:nvSpPr>
        <xdr:cNvPr id="140" name="Rounded Rectangular Callout 139">
          <a:extLst>
            <a:ext uri="{FF2B5EF4-FFF2-40B4-BE49-F238E27FC236}">
              <a16:creationId xmlns:a16="http://schemas.microsoft.com/office/drawing/2014/main" id="{1DEDA5B4-1A72-9011-0ECB-868C8D7958AC}"/>
            </a:ext>
          </a:extLst>
        </xdr:cNvPr>
        <xdr:cNvSpPr/>
      </xdr:nvSpPr>
      <xdr:spPr>
        <a:xfrm>
          <a:off x="13495204199" y="106683232"/>
          <a:ext cx="3881094" cy="743257"/>
        </a:xfrm>
        <a:prstGeom prst="wedgeRoundRectCallout">
          <a:avLst>
            <a:gd name="adj1" fmla="val 52273"/>
            <a:gd name="adj2" fmla="val 35534"/>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 (שואל הוד) האם מילת המפתח היא הטבות כלכליות בכל הנוגע להכרה בנכס בלתי מוחשי (נב״מ)</a:t>
          </a:r>
          <a:r>
            <a:rPr lang="he-IL" sz="1100" baseline="0"/>
            <a:t> בייצור עצמי, בעיקר בהקשר לנכסי מחקר ופיתוח אותם סקרנו בהקשר זה?</a:t>
          </a:r>
          <a:endParaRPr lang="en-US" sz="1100"/>
        </a:p>
      </xdr:txBody>
    </xdr:sp>
    <xdr:clientData/>
  </xdr:twoCellAnchor>
  <xdr:twoCellAnchor editAs="oneCell">
    <xdr:from>
      <xdr:col>5</xdr:col>
      <xdr:colOff>132493</xdr:colOff>
      <xdr:row>526</xdr:row>
      <xdr:rowOff>96946</xdr:rowOff>
    </xdr:from>
    <xdr:to>
      <xdr:col>6</xdr:col>
      <xdr:colOff>438747</xdr:colOff>
      <xdr:row>532</xdr:row>
      <xdr:rowOff>31119</xdr:rowOff>
    </xdr:to>
    <xdr:pic>
      <xdr:nvPicPr>
        <xdr:cNvPr id="141" name="Picture 140">
          <a:extLst>
            <a:ext uri="{FF2B5EF4-FFF2-40B4-BE49-F238E27FC236}">
              <a16:creationId xmlns:a16="http://schemas.microsoft.com/office/drawing/2014/main" id="{18AF1586-7A17-8CB0-5A59-3B6ADD69103E}"/>
            </a:ext>
          </a:extLst>
        </xdr:cNvPr>
        <xdr:cNvPicPr>
          <a:picLocks noChangeAspect="1"/>
        </xdr:cNvPicPr>
      </xdr:nvPicPr>
      <xdr:blipFill>
        <a:blip xmlns:r="http://schemas.openxmlformats.org/officeDocument/2006/relationships" r:embed="rId9"/>
        <a:stretch>
          <a:fillRect/>
        </a:stretch>
      </xdr:blipFill>
      <xdr:spPr>
        <a:xfrm>
          <a:off x="13495783390" y="107762569"/>
          <a:ext cx="1130300" cy="1155700"/>
        </a:xfrm>
        <a:prstGeom prst="rect">
          <a:avLst/>
        </a:prstGeom>
      </xdr:spPr>
    </xdr:pic>
    <xdr:clientData/>
  </xdr:twoCellAnchor>
  <xdr:twoCellAnchor>
    <xdr:from>
      <xdr:col>0</xdr:col>
      <xdr:colOff>355470</xdr:colOff>
      <xdr:row>527</xdr:row>
      <xdr:rowOff>180967</xdr:rowOff>
    </xdr:from>
    <xdr:to>
      <xdr:col>5</xdr:col>
      <xdr:colOff>116335</xdr:colOff>
      <xdr:row>531</xdr:row>
      <xdr:rowOff>109873</xdr:rowOff>
    </xdr:to>
    <xdr:sp macro="" textlink="">
      <xdr:nvSpPr>
        <xdr:cNvPr id="142" name="Rounded Rectangular Callout 141">
          <a:extLst>
            <a:ext uri="{FF2B5EF4-FFF2-40B4-BE49-F238E27FC236}">
              <a16:creationId xmlns:a16="http://schemas.microsoft.com/office/drawing/2014/main" id="{E737A5DD-64B1-6DB5-01DE-D0CE20424D59}"/>
            </a:ext>
          </a:extLst>
        </xdr:cNvPr>
        <xdr:cNvSpPr/>
      </xdr:nvSpPr>
      <xdr:spPr>
        <a:xfrm>
          <a:off x="13496929848" y="108050178"/>
          <a:ext cx="3881094" cy="743257"/>
        </a:xfrm>
        <a:prstGeom prst="wedgeRoundRectCallout">
          <a:avLst>
            <a:gd name="adj1" fmla="val -53555"/>
            <a:gd name="adj2" fmla="val 1205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המבחנים הם:</a:t>
          </a:r>
        </a:p>
        <a:p>
          <a:pPr algn="r" rtl="1"/>
          <a:r>
            <a:rPr lang="he-IL" sz="1100"/>
            <a:t>א. זיהוי (מתקיים), ב. שליטה (מתקיים פה) ג. צפי הטבה (מתקיים פה) ד.</a:t>
          </a:r>
          <a:r>
            <a:rPr lang="he-IL" sz="1100" baseline="0"/>
            <a:t> יכולת לאמוד באופן מהימן את העלות (מתקיים פה)</a:t>
          </a:r>
          <a:endParaRPr lang="en-US" sz="1100"/>
        </a:p>
      </xdr:txBody>
    </xdr:sp>
    <xdr:clientData/>
  </xdr:twoCellAnchor>
  <xdr:twoCellAnchor>
    <xdr:from>
      <xdr:col>2</xdr:col>
      <xdr:colOff>211026</xdr:colOff>
      <xdr:row>867</xdr:row>
      <xdr:rowOff>138127</xdr:rowOff>
    </xdr:from>
    <xdr:to>
      <xdr:col>4</xdr:col>
      <xdr:colOff>471933</xdr:colOff>
      <xdr:row>871</xdr:row>
      <xdr:rowOff>57553</xdr:rowOff>
    </xdr:to>
    <xdr:sp macro="" textlink="">
      <xdr:nvSpPr>
        <xdr:cNvPr id="143" name="Rounded Rectangle 142">
          <a:extLst>
            <a:ext uri="{FF2B5EF4-FFF2-40B4-BE49-F238E27FC236}">
              <a16:creationId xmlns:a16="http://schemas.microsoft.com/office/drawing/2014/main" id="{FADE3BF6-4D85-054F-B255-873ED44E858E}"/>
            </a:ext>
          </a:extLst>
        </xdr:cNvPr>
        <xdr:cNvSpPr/>
      </xdr:nvSpPr>
      <xdr:spPr>
        <a:xfrm>
          <a:off x="13521218067" y="18159427"/>
          <a:ext cx="1911907" cy="73222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קיים שוק / מסחר (קניה ומכירה) של הנכס בהיקפים גבוהים / במחזורים</a:t>
          </a:r>
          <a:r>
            <a:rPr lang="he-IL" sz="1100" baseline="0"/>
            <a:t> גדולים</a:t>
          </a:r>
          <a:endParaRPr lang="en-US" sz="1100"/>
        </a:p>
      </xdr:txBody>
    </xdr:sp>
    <xdr:clientData/>
  </xdr:twoCellAnchor>
  <xdr:twoCellAnchor>
    <xdr:from>
      <xdr:col>3</xdr:col>
      <xdr:colOff>656103</xdr:colOff>
      <xdr:row>871</xdr:row>
      <xdr:rowOff>65227</xdr:rowOff>
    </xdr:from>
    <xdr:to>
      <xdr:col>5</xdr:col>
      <xdr:colOff>103596</xdr:colOff>
      <xdr:row>876</xdr:row>
      <xdr:rowOff>161148</xdr:rowOff>
    </xdr:to>
    <xdr:cxnSp macro="">
      <xdr:nvCxnSpPr>
        <xdr:cNvPr id="144" name="Straight Arrow Connector 143">
          <a:extLst>
            <a:ext uri="{FF2B5EF4-FFF2-40B4-BE49-F238E27FC236}">
              <a16:creationId xmlns:a16="http://schemas.microsoft.com/office/drawing/2014/main" id="{99C92032-3A7A-A24C-99D4-62A01227B05C}"/>
            </a:ext>
          </a:extLst>
        </xdr:cNvPr>
        <xdr:cNvCxnSpPr/>
      </xdr:nvCxnSpPr>
      <xdr:spPr>
        <a:xfrm flipH="1">
          <a:off x="13520760904" y="18899327"/>
          <a:ext cx="1098493" cy="11119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241723</xdr:colOff>
      <xdr:row>871</xdr:row>
      <xdr:rowOff>61390</xdr:rowOff>
    </xdr:from>
    <xdr:to>
      <xdr:col>3</xdr:col>
      <xdr:colOff>49880</xdr:colOff>
      <xdr:row>876</xdr:row>
      <xdr:rowOff>138127</xdr:rowOff>
    </xdr:to>
    <xdr:cxnSp macro="">
      <xdr:nvCxnSpPr>
        <xdr:cNvPr id="145" name="Straight Arrow Connector 144">
          <a:extLst>
            <a:ext uri="{FF2B5EF4-FFF2-40B4-BE49-F238E27FC236}">
              <a16:creationId xmlns:a16="http://schemas.microsoft.com/office/drawing/2014/main" id="{BA6175FF-F027-CC4B-9D78-6FA9E3DFA613}"/>
            </a:ext>
          </a:extLst>
        </xdr:cNvPr>
        <xdr:cNvCxnSpPr/>
      </xdr:nvCxnSpPr>
      <xdr:spPr>
        <a:xfrm>
          <a:off x="13522465620" y="18895490"/>
          <a:ext cx="1459157" cy="109273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349153</xdr:colOff>
      <xdr:row>876</xdr:row>
      <xdr:rowOff>129589</xdr:rowOff>
    </xdr:from>
    <xdr:to>
      <xdr:col>2</xdr:col>
      <xdr:colOff>16366</xdr:colOff>
      <xdr:row>880</xdr:row>
      <xdr:rowOff>192844</xdr:rowOff>
    </xdr:to>
    <xdr:pic>
      <xdr:nvPicPr>
        <xdr:cNvPr id="146" name="Picture 145" descr="Political Cartoons on Congress">
          <a:extLst>
            <a:ext uri="{FF2B5EF4-FFF2-40B4-BE49-F238E27FC236}">
              <a16:creationId xmlns:a16="http://schemas.microsoft.com/office/drawing/2014/main" id="{6BCFE146-9E13-5B44-B9EB-FC5FB8697893}"/>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3512600335" y="178777347"/>
          <a:ext cx="1316904" cy="875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203353</xdr:colOff>
      <xdr:row>876</xdr:row>
      <xdr:rowOff>176496</xdr:rowOff>
    </xdr:from>
    <xdr:to>
      <xdr:col>7</xdr:col>
      <xdr:colOff>368338</xdr:colOff>
      <xdr:row>880</xdr:row>
      <xdr:rowOff>153476</xdr:rowOff>
    </xdr:to>
    <xdr:sp macro="" textlink="">
      <xdr:nvSpPr>
        <xdr:cNvPr id="147" name="Rounded Rectangle 146">
          <a:extLst>
            <a:ext uri="{FF2B5EF4-FFF2-40B4-BE49-F238E27FC236}">
              <a16:creationId xmlns:a16="http://schemas.microsoft.com/office/drawing/2014/main" id="{FC5EC60D-9651-CD42-A3C1-229E078E9BE6}"/>
            </a:ext>
          </a:extLst>
        </xdr:cNvPr>
        <xdr:cNvSpPr/>
      </xdr:nvSpPr>
      <xdr:spPr>
        <a:xfrm>
          <a:off x="13518845162" y="20026596"/>
          <a:ext cx="2641485" cy="78978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מדובר בשוק שבו נסחרים נכסים דומים (רישיון</a:t>
          </a:r>
          <a:r>
            <a:rPr lang="he-IL" sz="1100" baseline="0"/>
            <a:t> למונית)</a:t>
          </a:r>
          <a:r>
            <a:rPr lang="he-IL" sz="1100"/>
            <a:t> - או שהמאפיינים של כל</a:t>
          </a:r>
          <a:r>
            <a:rPr lang="he-IL" sz="1100" baseline="0"/>
            <a:t> נכס הם ייחודיים (כגון פטנטים ומותגים)</a:t>
          </a:r>
          <a:endParaRPr lang="en-US" sz="1100"/>
        </a:p>
      </xdr:txBody>
    </xdr:sp>
    <xdr:clientData/>
  </xdr:twoCellAnchor>
  <xdr:twoCellAnchor>
    <xdr:from>
      <xdr:col>2</xdr:col>
      <xdr:colOff>72900</xdr:colOff>
      <xdr:row>879</xdr:row>
      <xdr:rowOff>80574</xdr:rowOff>
    </xdr:from>
    <xdr:to>
      <xdr:col>4</xdr:col>
      <xdr:colOff>88248</xdr:colOff>
      <xdr:row>879</xdr:row>
      <xdr:rowOff>80575</xdr:rowOff>
    </xdr:to>
    <xdr:cxnSp macro="">
      <xdr:nvCxnSpPr>
        <xdr:cNvPr id="148" name="Straight Arrow Connector 147">
          <a:extLst>
            <a:ext uri="{FF2B5EF4-FFF2-40B4-BE49-F238E27FC236}">
              <a16:creationId xmlns:a16="http://schemas.microsoft.com/office/drawing/2014/main" id="{B1735C18-EE60-FC47-9CA5-B91C1078FAF8}"/>
            </a:ext>
          </a:extLst>
        </xdr:cNvPr>
        <xdr:cNvCxnSpPr/>
      </xdr:nvCxnSpPr>
      <xdr:spPr>
        <a:xfrm flipV="1">
          <a:off x="13521601752" y="20540274"/>
          <a:ext cx="1666348" cy="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698308</xdr:colOff>
      <xdr:row>880</xdr:row>
      <xdr:rowOff>153476</xdr:rowOff>
    </xdr:from>
    <xdr:to>
      <xdr:col>5</xdr:col>
      <xdr:colOff>702146</xdr:colOff>
      <xdr:row>885</xdr:row>
      <xdr:rowOff>161148</xdr:rowOff>
    </xdr:to>
    <xdr:cxnSp macro="">
      <xdr:nvCxnSpPr>
        <xdr:cNvPr id="149" name="Straight Arrow Connector 148">
          <a:extLst>
            <a:ext uri="{FF2B5EF4-FFF2-40B4-BE49-F238E27FC236}">
              <a16:creationId xmlns:a16="http://schemas.microsoft.com/office/drawing/2014/main" id="{39C21D29-D481-804F-9C15-793E83FD19AE}"/>
            </a:ext>
          </a:extLst>
        </xdr:cNvPr>
        <xdr:cNvCxnSpPr>
          <a:stCxn id="147" idx="2"/>
        </xdr:cNvCxnSpPr>
      </xdr:nvCxnSpPr>
      <xdr:spPr>
        <a:xfrm flipH="1">
          <a:off x="13520162354" y="20816376"/>
          <a:ext cx="3838" cy="102367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13092</xdr:colOff>
      <xdr:row>885</xdr:row>
      <xdr:rowOff>99981</xdr:rowOff>
    </xdr:from>
    <xdr:to>
      <xdr:col>6</xdr:col>
      <xdr:colOff>514112</xdr:colOff>
      <xdr:row>889</xdr:row>
      <xdr:rowOff>29655</xdr:rowOff>
    </xdr:to>
    <xdr:pic>
      <xdr:nvPicPr>
        <xdr:cNvPr id="150" name="Picture 149" descr="Grandma Market Stock Illustrations – 113 Grandma Market Stock  Illustrations, Vectors &amp; Clipart - Dreamstime">
          <a:extLst>
            <a:ext uri="{FF2B5EF4-FFF2-40B4-BE49-F238E27FC236}">
              <a16:creationId xmlns:a16="http://schemas.microsoft.com/office/drawing/2014/main" id="{77AE5360-58DC-9C46-928E-922556B689B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508803208" y="180574182"/>
          <a:ext cx="1325865" cy="741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808868</xdr:colOff>
      <xdr:row>925</xdr:row>
      <xdr:rowOff>202789</xdr:rowOff>
    </xdr:from>
    <xdr:to>
      <xdr:col>2</xdr:col>
      <xdr:colOff>623358</xdr:colOff>
      <xdr:row>926</xdr:row>
      <xdr:rowOff>191710</xdr:rowOff>
    </xdr:to>
    <xdr:pic>
      <xdr:nvPicPr>
        <xdr:cNvPr id="151" name="Picture 150">
          <a:extLst>
            <a:ext uri="{FF2B5EF4-FFF2-40B4-BE49-F238E27FC236}">
              <a16:creationId xmlns:a16="http://schemas.microsoft.com/office/drawing/2014/main" id="{F9C785DA-A304-D440-BCEF-9E0966BC74D8}"/>
            </a:ext>
          </a:extLst>
        </xdr:cNvPr>
        <xdr:cNvPicPr>
          <a:picLocks noChangeAspect="1"/>
        </xdr:cNvPicPr>
      </xdr:nvPicPr>
      <xdr:blipFill>
        <a:blip xmlns:r="http://schemas.openxmlformats.org/officeDocument/2006/relationships" r:embed="rId12"/>
        <a:stretch>
          <a:fillRect/>
        </a:stretch>
      </xdr:blipFill>
      <xdr:spPr>
        <a:xfrm>
          <a:off x="13522717642" y="27609389"/>
          <a:ext cx="639990" cy="192121"/>
        </a:xfrm>
        <a:prstGeom prst="rect">
          <a:avLst/>
        </a:prstGeom>
      </xdr:spPr>
    </xdr:pic>
    <xdr:clientData/>
  </xdr:twoCellAnchor>
  <xdr:twoCellAnchor editAs="oneCell">
    <xdr:from>
      <xdr:col>0</xdr:col>
      <xdr:colOff>826457</xdr:colOff>
      <xdr:row>842</xdr:row>
      <xdr:rowOff>204221</xdr:rowOff>
    </xdr:from>
    <xdr:to>
      <xdr:col>2</xdr:col>
      <xdr:colOff>380042</xdr:colOff>
      <xdr:row>849</xdr:row>
      <xdr:rowOff>82773</xdr:rowOff>
    </xdr:to>
    <xdr:pic>
      <xdr:nvPicPr>
        <xdr:cNvPr id="152" name="Picture 151">
          <a:extLst>
            <a:ext uri="{FF2B5EF4-FFF2-40B4-BE49-F238E27FC236}">
              <a16:creationId xmlns:a16="http://schemas.microsoft.com/office/drawing/2014/main" id="{CC601D07-9476-5296-E013-72E470DBFB61}"/>
            </a:ext>
          </a:extLst>
        </xdr:cNvPr>
        <xdr:cNvPicPr>
          <a:picLocks noChangeAspect="1"/>
        </xdr:cNvPicPr>
      </xdr:nvPicPr>
      <xdr:blipFill>
        <a:blip xmlns:r="http://schemas.openxmlformats.org/officeDocument/2006/relationships" r:embed="rId13"/>
        <a:stretch>
          <a:fillRect/>
        </a:stretch>
      </xdr:blipFill>
      <xdr:spPr>
        <a:xfrm>
          <a:off x="13538643224" y="172988040"/>
          <a:ext cx="1206500" cy="1308100"/>
        </a:xfrm>
        <a:prstGeom prst="rect">
          <a:avLst/>
        </a:prstGeom>
      </xdr:spPr>
    </xdr:pic>
    <xdr:clientData/>
  </xdr:twoCellAnchor>
  <xdr:twoCellAnchor>
    <xdr:from>
      <xdr:col>2</xdr:col>
      <xdr:colOff>433970</xdr:colOff>
      <xdr:row>842</xdr:row>
      <xdr:rowOff>156356</xdr:rowOff>
    </xdr:from>
    <xdr:to>
      <xdr:col>7</xdr:col>
      <xdr:colOff>494598</xdr:colOff>
      <xdr:row>849</xdr:row>
      <xdr:rowOff>12763</xdr:rowOff>
    </xdr:to>
    <xdr:sp macro="" textlink="">
      <xdr:nvSpPr>
        <xdr:cNvPr id="153" name="Rounded Rectangular Callout 152">
          <a:extLst>
            <a:ext uri="{FF2B5EF4-FFF2-40B4-BE49-F238E27FC236}">
              <a16:creationId xmlns:a16="http://schemas.microsoft.com/office/drawing/2014/main" id="{DA313E5B-6D19-97CD-4D70-DE710CB36B12}"/>
            </a:ext>
          </a:extLst>
        </xdr:cNvPr>
        <xdr:cNvSpPr/>
      </xdr:nvSpPr>
      <xdr:spPr>
        <a:xfrm>
          <a:off x="13534396382" y="172940175"/>
          <a:ext cx="4192914" cy="1285955"/>
        </a:xfrm>
        <a:prstGeom prst="wedgeRoundRectCallout">
          <a:avLst>
            <a:gd name="adj1" fmla="val 58923"/>
            <a:gd name="adj2" fmla="val 13897"/>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במלים פשוטות:</a:t>
          </a:r>
        </a:p>
        <a:p>
          <a:pPr algn="r" rtl="1"/>
          <a:r>
            <a:rPr lang="he-IL" sz="1100"/>
            <a:t>שוק פעיל לנכס = באופן שוטף, עקבי, תדיר (הרבה פעמים) מוכרים וקונים נכסים מאותו הסוג בדיוק (נבמ״ים</a:t>
          </a:r>
          <a:r>
            <a:rPr lang="he-IL" sz="1100" baseline="0"/>
            <a:t> לא ייחודיים, כמו רישיון למונית). </a:t>
          </a:r>
        </a:p>
        <a:p>
          <a:pPr algn="r" rtl="1"/>
          <a:r>
            <a:rPr lang="he-IL" sz="1100" baseline="0"/>
            <a:t>אם יש שוק פעיל ==&gt; ניתן להסיק מהמחיר הנקבע בעסקאות בשוק זה בדבר שווי הנב״מ. </a:t>
          </a:r>
        </a:p>
        <a:p>
          <a:pPr algn="r" rtl="1"/>
          <a:r>
            <a:rPr lang="he-IL" sz="1100" baseline="0"/>
            <a:t>דרכים אחרות להעריך שווי נב״מ במקרים רבים אינן מהימנות דיין. </a:t>
          </a:r>
          <a:endParaRPr lang="en-US" sz="1100"/>
        </a:p>
      </xdr:txBody>
    </xdr:sp>
    <xdr:clientData/>
  </xdr:twoCellAnchor>
  <xdr:oneCellAnchor>
    <xdr:from>
      <xdr:col>1</xdr:col>
      <xdr:colOff>392120</xdr:colOff>
      <xdr:row>973</xdr:row>
      <xdr:rowOff>49044</xdr:rowOff>
    </xdr:from>
    <xdr:ext cx="1898124" cy="316305"/>
    <mc:AlternateContent xmlns:mc="http://schemas.openxmlformats.org/markup-compatibility/2006" xmlns:a14="http://schemas.microsoft.com/office/drawing/2010/main">
      <mc:Choice Requires="a14">
        <xdr:sp macro="" textlink="">
          <xdr:nvSpPr>
            <xdr:cNvPr id="154" name="TextBox 153">
              <a:extLst>
                <a:ext uri="{FF2B5EF4-FFF2-40B4-BE49-F238E27FC236}">
                  <a16:creationId xmlns:a16="http://schemas.microsoft.com/office/drawing/2014/main" id="{ACBB615A-BD35-9A49-A58A-973AE51BDFC5}"/>
                </a:ext>
              </a:extLst>
            </xdr:cNvPr>
            <xdr:cNvSpPr txBox="1"/>
          </xdr:nvSpPr>
          <xdr:spPr>
            <a:xfrm>
              <a:off x="13521876256" y="372473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m:t>
                        </m:r>
                      </m:num>
                      <m:den>
                        <m:r>
                          <a:rPr lang="he-IL" sz="1100" b="0" i="1">
                            <a:latin typeface="Cambria Math" panose="02040503050406030204" pitchFamily="18" charset="0"/>
                          </a:rPr>
                          <m:t>80</m:t>
                        </m:r>
                      </m:den>
                    </m:f>
                    <m:r>
                      <a:rPr lang="he-IL" sz="1100" b="0" i="1">
                        <a:latin typeface="Cambria Math" panose="02040503050406030204" pitchFamily="18" charset="0"/>
                      </a:rPr>
                      <m:t>∗30=150,000</m:t>
                    </m:r>
                  </m:oMath>
                </m:oMathPara>
              </a14:m>
              <a:endParaRPr lang="en-US" sz="1100"/>
            </a:p>
          </xdr:txBody>
        </xdr:sp>
      </mc:Choice>
      <mc:Fallback xmlns="">
        <xdr:sp macro="" textlink="">
          <xdr:nvSpPr>
            <xdr:cNvPr id="154" name="TextBox 153">
              <a:extLst>
                <a:ext uri="{FF2B5EF4-FFF2-40B4-BE49-F238E27FC236}">
                  <a16:creationId xmlns:a16="http://schemas.microsoft.com/office/drawing/2014/main" id="{ACBB615A-BD35-9A49-A58A-973AE51BDFC5}"/>
                </a:ext>
              </a:extLst>
            </xdr:cNvPr>
            <xdr:cNvSpPr txBox="1"/>
          </xdr:nvSpPr>
          <xdr:spPr>
            <a:xfrm>
              <a:off x="13521876256" y="372473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400,000/80∗30=150,000</a:t>
              </a:r>
              <a:endParaRPr lang="en-US" sz="1100"/>
            </a:p>
          </xdr:txBody>
        </xdr:sp>
      </mc:Fallback>
    </mc:AlternateContent>
    <xdr:clientData/>
  </xdr:oneCellAnchor>
  <xdr:twoCellAnchor editAs="oneCell">
    <xdr:from>
      <xdr:col>8</xdr:col>
      <xdr:colOff>122280</xdr:colOff>
      <xdr:row>1040</xdr:row>
      <xdr:rowOff>30526</xdr:rowOff>
    </xdr:from>
    <xdr:to>
      <xdr:col>9</xdr:col>
      <xdr:colOff>371309</xdr:colOff>
      <xdr:row>1044</xdr:row>
      <xdr:rowOff>81188</xdr:rowOff>
    </xdr:to>
    <xdr:pic>
      <xdr:nvPicPr>
        <xdr:cNvPr id="155" name="Picture 154">
          <a:extLst>
            <a:ext uri="{FF2B5EF4-FFF2-40B4-BE49-F238E27FC236}">
              <a16:creationId xmlns:a16="http://schemas.microsoft.com/office/drawing/2014/main" id="{F6336980-083F-B440-81EF-B6873CB2A0C7}"/>
            </a:ext>
          </a:extLst>
        </xdr:cNvPr>
        <xdr:cNvPicPr>
          <a:picLocks noChangeAspect="1"/>
        </xdr:cNvPicPr>
      </xdr:nvPicPr>
      <xdr:blipFill>
        <a:blip xmlns:r="http://schemas.openxmlformats.org/officeDocument/2006/relationships" r:embed="rId14"/>
        <a:stretch>
          <a:fillRect/>
        </a:stretch>
      </xdr:blipFill>
      <xdr:spPr>
        <a:xfrm>
          <a:off x="13517191191" y="212311026"/>
          <a:ext cx="1074529" cy="863462"/>
        </a:xfrm>
        <a:prstGeom prst="rect">
          <a:avLst/>
        </a:prstGeom>
      </xdr:spPr>
    </xdr:pic>
    <xdr:clientData/>
  </xdr:twoCellAnchor>
  <xdr:twoCellAnchor editAs="oneCell">
    <xdr:from>
      <xdr:col>1</xdr:col>
      <xdr:colOff>826884</xdr:colOff>
      <xdr:row>991</xdr:row>
      <xdr:rowOff>0</xdr:rowOff>
    </xdr:from>
    <xdr:to>
      <xdr:col>2</xdr:col>
      <xdr:colOff>641374</xdr:colOff>
      <xdr:row>991</xdr:row>
      <xdr:rowOff>190696</xdr:rowOff>
    </xdr:to>
    <xdr:pic>
      <xdr:nvPicPr>
        <xdr:cNvPr id="156" name="Picture 155">
          <a:extLst>
            <a:ext uri="{FF2B5EF4-FFF2-40B4-BE49-F238E27FC236}">
              <a16:creationId xmlns:a16="http://schemas.microsoft.com/office/drawing/2014/main" id="{DBD2C2EF-EA10-114F-B233-C8F88C3F98B0}"/>
            </a:ext>
          </a:extLst>
        </xdr:cNvPr>
        <xdr:cNvPicPr>
          <a:picLocks noChangeAspect="1"/>
        </xdr:cNvPicPr>
      </xdr:nvPicPr>
      <xdr:blipFill>
        <a:blip xmlns:r="http://schemas.openxmlformats.org/officeDocument/2006/relationships" r:embed="rId12"/>
        <a:stretch>
          <a:fillRect/>
        </a:stretch>
      </xdr:blipFill>
      <xdr:spPr>
        <a:xfrm>
          <a:off x="13522699626" y="40881300"/>
          <a:ext cx="639990" cy="1906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392120</xdr:colOff>
      <xdr:row>182</xdr:row>
      <xdr:rowOff>49044</xdr:rowOff>
    </xdr:from>
    <xdr:ext cx="1898124" cy="316305"/>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3892FCE-E189-DB4B-8C8B-9EDE9C20BD62}"/>
                </a:ext>
              </a:extLst>
            </xdr:cNvPr>
            <xdr:cNvSpPr txBox="1"/>
          </xdr:nvSpPr>
          <xdr:spPr>
            <a:xfrm>
              <a:off x="13521876256" y="1094722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400,000</m:t>
                        </m:r>
                      </m:num>
                      <m:den>
                        <m:r>
                          <a:rPr lang="he-IL" sz="1100" b="0" i="1">
                            <a:latin typeface="Cambria Math" panose="02040503050406030204" pitchFamily="18" charset="0"/>
                          </a:rPr>
                          <m:t>80</m:t>
                        </m:r>
                      </m:den>
                    </m:f>
                    <m:r>
                      <a:rPr lang="he-IL" sz="1100" b="0" i="1">
                        <a:latin typeface="Cambria Math" panose="02040503050406030204" pitchFamily="18" charset="0"/>
                      </a:rPr>
                      <m:t>∗30=150,000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3892FCE-E189-DB4B-8C8B-9EDE9C20BD62}"/>
                </a:ext>
              </a:extLst>
            </xdr:cNvPr>
            <xdr:cNvSpPr txBox="1"/>
          </xdr:nvSpPr>
          <xdr:spPr>
            <a:xfrm>
              <a:off x="13521876256" y="109472244"/>
              <a:ext cx="1898124" cy="3163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400,000/80∗30=150,000</a:t>
              </a:r>
              <a:endParaRPr lang="en-US" sz="1100"/>
            </a:p>
          </xdr:txBody>
        </xdr:sp>
      </mc:Fallback>
    </mc:AlternateContent>
    <xdr:clientData/>
  </xdr:oneCellAnchor>
  <xdr:twoCellAnchor>
    <xdr:from>
      <xdr:col>1</xdr:col>
      <xdr:colOff>622300</xdr:colOff>
      <xdr:row>452</xdr:row>
      <xdr:rowOff>88900</xdr:rowOff>
    </xdr:from>
    <xdr:to>
      <xdr:col>2</xdr:col>
      <xdr:colOff>539750</xdr:colOff>
      <xdr:row>455</xdr:row>
      <xdr:rowOff>165100</xdr:rowOff>
    </xdr:to>
    <xdr:cxnSp macro="">
      <xdr:nvCxnSpPr>
        <xdr:cNvPr id="45" name="Straight Arrow Connector 44">
          <a:extLst>
            <a:ext uri="{FF2B5EF4-FFF2-40B4-BE49-F238E27FC236}">
              <a16:creationId xmlns:a16="http://schemas.microsoft.com/office/drawing/2014/main" id="{8D469069-5740-D24A-A869-7D7D46E23643}"/>
            </a:ext>
          </a:extLst>
        </xdr:cNvPr>
        <xdr:cNvCxnSpPr/>
      </xdr:nvCxnSpPr>
      <xdr:spPr>
        <a:xfrm>
          <a:off x="13522839350" y="17157700"/>
          <a:ext cx="742950" cy="685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546100</xdr:colOff>
      <xdr:row>452</xdr:row>
      <xdr:rowOff>101600</xdr:rowOff>
    </xdr:from>
    <xdr:to>
      <xdr:col>3</xdr:col>
      <xdr:colOff>450850</xdr:colOff>
      <xdr:row>455</xdr:row>
      <xdr:rowOff>152400</xdr:rowOff>
    </xdr:to>
    <xdr:cxnSp macro="">
      <xdr:nvCxnSpPr>
        <xdr:cNvPr id="46" name="Straight Arrow Connector 45">
          <a:extLst>
            <a:ext uri="{FF2B5EF4-FFF2-40B4-BE49-F238E27FC236}">
              <a16:creationId xmlns:a16="http://schemas.microsoft.com/office/drawing/2014/main" id="{2FDC2357-7370-0441-80C0-D30BD7630637}"/>
            </a:ext>
          </a:extLst>
        </xdr:cNvPr>
        <xdr:cNvCxnSpPr/>
      </xdr:nvCxnSpPr>
      <xdr:spPr>
        <a:xfrm flipH="1">
          <a:off x="13522102750" y="17170400"/>
          <a:ext cx="7302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241300</xdr:colOff>
      <xdr:row>601</xdr:row>
      <xdr:rowOff>12700</xdr:rowOff>
    </xdr:from>
    <xdr:to>
      <xdr:col>3</xdr:col>
      <xdr:colOff>323850</xdr:colOff>
      <xdr:row>604</xdr:row>
      <xdr:rowOff>114300</xdr:rowOff>
    </xdr:to>
    <xdr:cxnSp macro="">
      <xdr:nvCxnSpPr>
        <xdr:cNvPr id="47" name="Straight Arrow Connector 46">
          <a:extLst>
            <a:ext uri="{FF2B5EF4-FFF2-40B4-BE49-F238E27FC236}">
              <a16:creationId xmlns:a16="http://schemas.microsoft.com/office/drawing/2014/main" id="{6EF7FE94-59FD-1E43-B577-D0ED77B6A4E6}"/>
            </a:ext>
          </a:extLst>
        </xdr:cNvPr>
        <xdr:cNvCxnSpPr/>
      </xdr:nvCxnSpPr>
      <xdr:spPr>
        <a:xfrm>
          <a:off x="13522229750" y="45453300"/>
          <a:ext cx="908050" cy="711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323850</xdr:colOff>
      <xdr:row>601</xdr:row>
      <xdr:rowOff>12700</xdr:rowOff>
    </xdr:from>
    <xdr:to>
      <xdr:col>4</xdr:col>
      <xdr:colOff>107950</xdr:colOff>
      <xdr:row>604</xdr:row>
      <xdr:rowOff>158750</xdr:rowOff>
    </xdr:to>
    <xdr:cxnSp macro="">
      <xdr:nvCxnSpPr>
        <xdr:cNvPr id="48" name="Straight Arrow Connector 47">
          <a:extLst>
            <a:ext uri="{FF2B5EF4-FFF2-40B4-BE49-F238E27FC236}">
              <a16:creationId xmlns:a16="http://schemas.microsoft.com/office/drawing/2014/main" id="{032C5EF0-6EF0-8D4F-AEF1-08AC763B6E17}"/>
            </a:ext>
          </a:extLst>
        </xdr:cNvPr>
        <xdr:cNvCxnSpPr/>
      </xdr:nvCxnSpPr>
      <xdr:spPr>
        <a:xfrm flipH="1">
          <a:off x="13521582050" y="45453300"/>
          <a:ext cx="647700" cy="755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19050</xdr:colOff>
      <xdr:row>677</xdr:row>
      <xdr:rowOff>196850</xdr:rowOff>
    </xdr:from>
    <xdr:to>
      <xdr:col>4</xdr:col>
      <xdr:colOff>196850</xdr:colOff>
      <xdr:row>680</xdr:row>
      <xdr:rowOff>190500</xdr:rowOff>
    </xdr:to>
    <xdr:cxnSp macro="">
      <xdr:nvCxnSpPr>
        <xdr:cNvPr id="49" name="Straight Arrow Connector 48">
          <a:extLst>
            <a:ext uri="{FF2B5EF4-FFF2-40B4-BE49-F238E27FC236}">
              <a16:creationId xmlns:a16="http://schemas.microsoft.com/office/drawing/2014/main" id="{38585798-203E-914F-B758-70AF53A15870}"/>
            </a:ext>
          </a:extLst>
        </xdr:cNvPr>
        <xdr:cNvCxnSpPr/>
      </xdr:nvCxnSpPr>
      <xdr:spPr>
        <a:xfrm>
          <a:off x="13521493150" y="57931050"/>
          <a:ext cx="1041400" cy="603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533400</xdr:colOff>
      <xdr:row>678</xdr:row>
      <xdr:rowOff>25400</xdr:rowOff>
    </xdr:from>
    <xdr:to>
      <xdr:col>5</xdr:col>
      <xdr:colOff>488950</xdr:colOff>
      <xdr:row>681</xdr:row>
      <xdr:rowOff>12700</xdr:rowOff>
    </xdr:to>
    <xdr:cxnSp macro="">
      <xdr:nvCxnSpPr>
        <xdr:cNvPr id="50" name="Straight Arrow Connector 49">
          <a:extLst>
            <a:ext uri="{FF2B5EF4-FFF2-40B4-BE49-F238E27FC236}">
              <a16:creationId xmlns:a16="http://schemas.microsoft.com/office/drawing/2014/main" id="{6BA895D5-5411-6343-B172-A22978792975}"/>
            </a:ext>
          </a:extLst>
        </xdr:cNvPr>
        <xdr:cNvCxnSpPr/>
      </xdr:nvCxnSpPr>
      <xdr:spPr>
        <a:xfrm flipH="1">
          <a:off x="13520375550" y="57962800"/>
          <a:ext cx="781050" cy="596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95765</xdr:colOff>
      <xdr:row>698</xdr:row>
      <xdr:rowOff>65038</xdr:rowOff>
    </xdr:from>
    <xdr:to>
      <xdr:col>7</xdr:col>
      <xdr:colOff>506013</xdr:colOff>
      <xdr:row>711</xdr:row>
      <xdr:rowOff>185687</xdr:rowOff>
    </xdr:to>
    <xdr:pic>
      <xdr:nvPicPr>
        <xdr:cNvPr id="51" name="Picture 50">
          <a:extLst>
            <a:ext uri="{FF2B5EF4-FFF2-40B4-BE49-F238E27FC236}">
              <a16:creationId xmlns:a16="http://schemas.microsoft.com/office/drawing/2014/main" id="{CCCA9018-819B-1143-9A56-BD29AA95369D}"/>
            </a:ext>
          </a:extLst>
        </xdr:cNvPr>
        <xdr:cNvPicPr>
          <a:picLocks noChangeAspect="1"/>
        </xdr:cNvPicPr>
      </xdr:nvPicPr>
      <xdr:blipFill>
        <a:blip xmlns:r="http://schemas.openxmlformats.org/officeDocument/2006/relationships" r:embed="rId1"/>
        <a:stretch>
          <a:fillRect/>
        </a:stretch>
      </xdr:blipFill>
      <xdr:spPr>
        <a:xfrm>
          <a:off x="13518707487" y="144159238"/>
          <a:ext cx="6188748" cy="2762249"/>
        </a:xfrm>
        <a:prstGeom prst="rect">
          <a:avLst/>
        </a:prstGeom>
      </xdr:spPr>
    </xdr:pic>
    <xdr:clientData/>
  </xdr:twoCellAnchor>
  <xdr:twoCellAnchor editAs="oneCell">
    <xdr:from>
      <xdr:col>7</xdr:col>
      <xdr:colOff>741405</xdr:colOff>
      <xdr:row>249</xdr:row>
      <xdr:rowOff>40051</xdr:rowOff>
    </xdr:from>
    <xdr:to>
      <xdr:col>9</xdr:col>
      <xdr:colOff>164934</xdr:colOff>
      <xdr:row>253</xdr:row>
      <xdr:rowOff>90714</xdr:rowOff>
    </xdr:to>
    <xdr:pic>
      <xdr:nvPicPr>
        <xdr:cNvPr id="52" name="Picture 51">
          <a:extLst>
            <a:ext uri="{FF2B5EF4-FFF2-40B4-BE49-F238E27FC236}">
              <a16:creationId xmlns:a16="http://schemas.microsoft.com/office/drawing/2014/main" id="{68FE1064-7EB6-105C-0B81-859F81D83FFA}"/>
            </a:ext>
          </a:extLst>
        </xdr:cNvPr>
        <xdr:cNvPicPr>
          <a:picLocks noChangeAspect="1"/>
        </xdr:cNvPicPr>
      </xdr:nvPicPr>
      <xdr:blipFill>
        <a:blip xmlns:r="http://schemas.openxmlformats.org/officeDocument/2006/relationships" r:embed="rId2"/>
        <a:stretch>
          <a:fillRect/>
        </a:stretch>
      </xdr:blipFill>
      <xdr:spPr>
        <a:xfrm>
          <a:off x="13545500606" y="50726781"/>
          <a:ext cx="1077961" cy="860717"/>
        </a:xfrm>
        <a:prstGeom prst="rect">
          <a:avLst/>
        </a:prstGeom>
      </xdr:spPr>
    </xdr:pic>
    <xdr:clientData/>
  </xdr:twoCellAnchor>
  <xdr:twoCellAnchor>
    <xdr:from>
      <xdr:col>2</xdr:col>
      <xdr:colOff>211026</xdr:colOff>
      <xdr:row>88</xdr:row>
      <xdr:rowOff>138127</xdr:rowOff>
    </xdr:from>
    <xdr:to>
      <xdr:col>4</xdr:col>
      <xdr:colOff>471933</xdr:colOff>
      <xdr:row>92</xdr:row>
      <xdr:rowOff>57553</xdr:rowOff>
    </xdr:to>
    <xdr:sp macro="" textlink="">
      <xdr:nvSpPr>
        <xdr:cNvPr id="2" name="Rounded Rectangle 1">
          <a:extLst>
            <a:ext uri="{FF2B5EF4-FFF2-40B4-BE49-F238E27FC236}">
              <a16:creationId xmlns:a16="http://schemas.microsoft.com/office/drawing/2014/main" id="{2AD30210-0DDE-5E17-DA7C-008C16AC179C}"/>
            </a:ext>
          </a:extLst>
        </xdr:cNvPr>
        <xdr:cNvSpPr/>
      </xdr:nvSpPr>
      <xdr:spPr>
        <a:xfrm>
          <a:off x="13511790907" y="18159849"/>
          <a:ext cx="1910756" cy="73284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קיים שוק / מסחר (קניה ומכירה) של הנכס בהיקפים גבוהים / במחזורים</a:t>
          </a:r>
          <a:r>
            <a:rPr lang="he-IL" sz="1100" baseline="0"/>
            <a:t> גדולים</a:t>
          </a:r>
          <a:endParaRPr lang="en-US" sz="1100"/>
        </a:p>
      </xdr:txBody>
    </xdr:sp>
    <xdr:clientData/>
  </xdr:twoCellAnchor>
  <xdr:twoCellAnchor>
    <xdr:from>
      <xdr:col>3</xdr:col>
      <xdr:colOff>656103</xdr:colOff>
      <xdr:row>92</xdr:row>
      <xdr:rowOff>65227</xdr:rowOff>
    </xdr:from>
    <xdr:to>
      <xdr:col>5</xdr:col>
      <xdr:colOff>103596</xdr:colOff>
      <xdr:row>97</xdr:row>
      <xdr:rowOff>161148</xdr:rowOff>
    </xdr:to>
    <xdr:cxnSp macro="">
      <xdr:nvCxnSpPr>
        <xdr:cNvPr id="4" name="Straight Arrow Connector 3">
          <a:extLst>
            <a:ext uri="{FF2B5EF4-FFF2-40B4-BE49-F238E27FC236}">
              <a16:creationId xmlns:a16="http://schemas.microsoft.com/office/drawing/2014/main" id="{20701762-0CD8-57DD-0B70-CC7B85B8FDD4}"/>
            </a:ext>
          </a:extLst>
        </xdr:cNvPr>
        <xdr:cNvCxnSpPr/>
      </xdr:nvCxnSpPr>
      <xdr:spPr>
        <a:xfrm flipH="1">
          <a:off x="13511334320" y="18900363"/>
          <a:ext cx="1097342" cy="111268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241723</xdr:colOff>
      <xdr:row>92</xdr:row>
      <xdr:rowOff>61390</xdr:rowOff>
    </xdr:from>
    <xdr:to>
      <xdr:col>3</xdr:col>
      <xdr:colOff>49880</xdr:colOff>
      <xdr:row>97</xdr:row>
      <xdr:rowOff>138127</xdr:rowOff>
    </xdr:to>
    <xdr:cxnSp macro="">
      <xdr:nvCxnSpPr>
        <xdr:cNvPr id="5" name="Straight Arrow Connector 4">
          <a:extLst>
            <a:ext uri="{FF2B5EF4-FFF2-40B4-BE49-F238E27FC236}">
              <a16:creationId xmlns:a16="http://schemas.microsoft.com/office/drawing/2014/main" id="{B7768F7B-FBDA-D943-7500-7687DCC40656}"/>
            </a:ext>
          </a:extLst>
        </xdr:cNvPr>
        <xdr:cNvCxnSpPr/>
      </xdr:nvCxnSpPr>
      <xdr:spPr>
        <a:xfrm>
          <a:off x="13513037885" y="18896526"/>
          <a:ext cx="1458006" cy="10935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349154</xdr:colOff>
      <xdr:row>97</xdr:row>
      <xdr:rowOff>129589</xdr:rowOff>
    </xdr:from>
    <xdr:to>
      <xdr:col>1</xdr:col>
      <xdr:colOff>808234</xdr:colOff>
      <xdr:row>101</xdr:row>
      <xdr:rowOff>170931</xdr:rowOff>
    </xdr:to>
    <xdr:pic>
      <xdr:nvPicPr>
        <xdr:cNvPr id="8" name="Picture 7" descr="Political Cartoons on Congress">
          <a:extLst>
            <a:ext uri="{FF2B5EF4-FFF2-40B4-BE49-F238E27FC236}">
              <a16:creationId xmlns:a16="http://schemas.microsoft.com/office/drawing/2014/main" id="{31E3D076-3ADD-D8D5-52EF-F7EB3FC04A55}"/>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13929380" y="19981492"/>
          <a:ext cx="1284004" cy="8547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203353</xdr:colOff>
      <xdr:row>97</xdr:row>
      <xdr:rowOff>176496</xdr:rowOff>
    </xdr:from>
    <xdr:to>
      <xdr:col>7</xdr:col>
      <xdr:colOff>368338</xdr:colOff>
      <xdr:row>101</xdr:row>
      <xdr:rowOff>153476</xdr:rowOff>
    </xdr:to>
    <xdr:sp macro="" textlink="">
      <xdr:nvSpPr>
        <xdr:cNvPr id="9" name="Rounded Rectangle 8">
          <a:extLst>
            <a:ext uri="{FF2B5EF4-FFF2-40B4-BE49-F238E27FC236}">
              <a16:creationId xmlns:a16="http://schemas.microsoft.com/office/drawing/2014/main" id="{86622D31-DE15-3E23-A984-754143F7CB78}"/>
            </a:ext>
          </a:extLst>
        </xdr:cNvPr>
        <xdr:cNvSpPr/>
      </xdr:nvSpPr>
      <xdr:spPr>
        <a:xfrm>
          <a:off x="13509419729" y="20028399"/>
          <a:ext cx="2639758" cy="790394"/>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האם מדובר בשוק שבו נסחרים נכסים דומים (רישיון</a:t>
          </a:r>
          <a:r>
            <a:rPr lang="he-IL" sz="1100" baseline="0"/>
            <a:t> למונית)</a:t>
          </a:r>
          <a:r>
            <a:rPr lang="he-IL" sz="1100"/>
            <a:t> - או שהמאפיינים של כל</a:t>
          </a:r>
          <a:r>
            <a:rPr lang="he-IL" sz="1100" baseline="0"/>
            <a:t> נכס הם ייחודיים (כגון פטנטים ומותגים)</a:t>
          </a:r>
          <a:endParaRPr lang="en-US" sz="1100"/>
        </a:p>
      </xdr:txBody>
    </xdr:sp>
    <xdr:clientData/>
  </xdr:twoCellAnchor>
  <xdr:twoCellAnchor>
    <xdr:from>
      <xdr:col>2</xdr:col>
      <xdr:colOff>72900</xdr:colOff>
      <xdr:row>100</xdr:row>
      <xdr:rowOff>80574</xdr:rowOff>
    </xdr:from>
    <xdr:to>
      <xdr:col>4</xdr:col>
      <xdr:colOff>88248</xdr:colOff>
      <xdr:row>100</xdr:row>
      <xdr:rowOff>80575</xdr:rowOff>
    </xdr:to>
    <xdr:cxnSp macro="">
      <xdr:nvCxnSpPr>
        <xdr:cNvPr id="10" name="Straight Arrow Connector 9">
          <a:extLst>
            <a:ext uri="{FF2B5EF4-FFF2-40B4-BE49-F238E27FC236}">
              <a16:creationId xmlns:a16="http://schemas.microsoft.com/office/drawing/2014/main" id="{556F8C78-106D-3759-4286-C7E524C8A359}"/>
            </a:ext>
          </a:extLst>
        </xdr:cNvPr>
        <xdr:cNvCxnSpPr/>
      </xdr:nvCxnSpPr>
      <xdr:spPr>
        <a:xfrm flipV="1">
          <a:off x="13512174592" y="20542538"/>
          <a:ext cx="1665197" cy="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698308</xdr:colOff>
      <xdr:row>101</xdr:row>
      <xdr:rowOff>153476</xdr:rowOff>
    </xdr:from>
    <xdr:to>
      <xdr:col>5</xdr:col>
      <xdr:colOff>702146</xdr:colOff>
      <xdr:row>106</xdr:row>
      <xdr:rowOff>161148</xdr:rowOff>
    </xdr:to>
    <xdr:cxnSp macro="">
      <xdr:nvCxnSpPr>
        <xdr:cNvPr id="13" name="Straight Arrow Connector 12">
          <a:extLst>
            <a:ext uri="{FF2B5EF4-FFF2-40B4-BE49-F238E27FC236}">
              <a16:creationId xmlns:a16="http://schemas.microsoft.com/office/drawing/2014/main" id="{BCE9A956-8F33-BC8D-7C77-E4F6A66A0632}"/>
            </a:ext>
          </a:extLst>
        </xdr:cNvPr>
        <xdr:cNvCxnSpPr>
          <a:stCxn id="9" idx="2"/>
        </xdr:cNvCxnSpPr>
      </xdr:nvCxnSpPr>
      <xdr:spPr>
        <a:xfrm flipH="1">
          <a:off x="13510735770" y="20818793"/>
          <a:ext cx="3838" cy="102444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784346</xdr:colOff>
      <xdr:row>106</xdr:row>
      <xdr:rowOff>115105</xdr:rowOff>
    </xdr:from>
    <xdr:to>
      <xdr:col>6</xdr:col>
      <xdr:colOff>415916</xdr:colOff>
      <xdr:row>110</xdr:row>
      <xdr:rowOff>19837</xdr:rowOff>
    </xdr:to>
    <xdr:pic>
      <xdr:nvPicPr>
        <xdr:cNvPr id="16" name="Picture 15" descr="Grandma Market Stock Illustrations – 113 Grandma Market Stock  Illustrations, Vectors &amp; Clipart - Dreamstime">
          <a:extLst>
            <a:ext uri="{FF2B5EF4-FFF2-40B4-BE49-F238E27FC236}">
              <a16:creationId xmlns:a16="http://schemas.microsoft.com/office/drawing/2014/main" id="{9D6DCE8C-ED80-20ED-0B3F-E05907E1B405}"/>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510197075" y="21797190"/>
          <a:ext cx="1281419" cy="718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808868</xdr:colOff>
      <xdr:row>134</xdr:row>
      <xdr:rowOff>202789</xdr:rowOff>
    </xdr:from>
    <xdr:to>
      <xdr:col>2</xdr:col>
      <xdr:colOff>623358</xdr:colOff>
      <xdr:row>135</xdr:row>
      <xdr:rowOff>191710</xdr:rowOff>
    </xdr:to>
    <xdr:pic>
      <xdr:nvPicPr>
        <xdr:cNvPr id="17" name="Picture 16">
          <a:extLst>
            <a:ext uri="{FF2B5EF4-FFF2-40B4-BE49-F238E27FC236}">
              <a16:creationId xmlns:a16="http://schemas.microsoft.com/office/drawing/2014/main" id="{04065A9B-2012-17DD-0548-D6EFCE5FCDE2}"/>
            </a:ext>
          </a:extLst>
        </xdr:cNvPr>
        <xdr:cNvPicPr>
          <a:picLocks noChangeAspect="1"/>
        </xdr:cNvPicPr>
      </xdr:nvPicPr>
      <xdr:blipFill>
        <a:blip xmlns:r="http://schemas.openxmlformats.org/officeDocument/2006/relationships" r:embed="rId5"/>
        <a:stretch>
          <a:fillRect/>
        </a:stretch>
      </xdr:blipFill>
      <xdr:spPr>
        <a:xfrm>
          <a:off x="13497949618" y="27711896"/>
          <a:ext cx="638478" cy="193028"/>
        </a:xfrm>
        <a:prstGeom prst="rect">
          <a:avLst/>
        </a:prstGeom>
      </xdr:spPr>
    </xdr:pic>
    <xdr:clientData/>
  </xdr:twoCellAnchor>
  <xdr:twoCellAnchor editAs="oneCell">
    <xdr:from>
      <xdr:col>1</xdr:col>
      <xdr:colOff>826884</xdr:colOff>
      <xdr:row>200</xdr:row>
      <xdr:rowOff>0</xdr:rowOff>
    </xdr:from>
    <xdr:to>
      <xdr:col>2</xdr:col>
      <xdr:colOff>641374</xdr:colOff>
      <xdr:row>200</xdr:row>
      <xdr:rowOff>190696</xdr:rowOff>
    </xdr:to>
    <xdr:pic>
      <xdr:nvPicPr>
        <xdr:cNvPr id="18" name="Picture 17">
          <a:extLst>
            <a:ext uri="{FF2B5EF4-FFF2-40B4-BE49-F238E27FC236}">
              <a16:creationId xmlns:a16="http://schemas.microsoft.com/office/drawing/2014/main" id="{A48F3324-68F8-7848-9D51-B726468D9D76}"/>
            </a:ext>
          </a:extLst>
        </xdr:cNvPr>
        <xdr:cNvPicPr>
          <a:picLocks noChangeAspect="1"/>
        </xdr:cNvPicPr>
      </xdr:nvPicPr>
      <xdr:blipFill>
        <a:blip xmlns:r="http://schemas.openxmlformats.org/officeDocument/2006/relationships" r:embed="rId5"/>
        <a:stretch>
          <a:fillRect/>
        </a:stretch>
      </xdr:blipFill>
      <xdr:spPr>
        <a:xfrm>
          <a:off x="13545384359" y="40655826"/>
          <a:ext cx="641374" cy="190696"/>
        </a:xfrm>
        <a:prstGeom prst="rect">
          <a:avLst/>
        </a:prstGeom>
      </xdr:spPr>
    </xdr:pic>
    <xdr:clientData/>
  </xdr:twoCellAnchor>
  <xdr:twoCellAnchor editAs="oneCell">
    <xdr:from>
      <xdr:col>6</xdr:col>
      <xdr:colOff>398789</xdr:colOff>
      <xdr:row>393</xdr:row>
      <xdr:rowOff>40808</xdr:rowOff>
    </xdr:from>
    <xdr:to>
      <xdr:col>7</xdr:col>
      <xdr:colOff>731303</xdr:colOff>
      <xdr:row>400</xdr:row>
      <xdr:rowOff>46533</xdr:rowOff>
    </xdr:to>
    <xdr:pic>
      <xdr:nvPicPr>
        <xdr:cNvPr id="19" name="Picture 18" descr="מכונה להכנת פופקורן 1200W Ivory Pop לשימוש ביתי בריא יותר וללא תוספת שמן">
          <a:extLst>
            <a:ext uri="{FF2B5EF4-FFF2-40B4-BE49-F238E27FC236}">
              <a16:creationId xmlns:a16="http://schemas.microsoft.com/office/drawing/2014/main" id="{CE2A5D8E-E6B9-4920-B06F-4B38E735653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556374730" y="81063723"/>
          <a:ext cx="1160327" cy="14556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172238</xdr:colOff>
      <xdr:row>396</xdr:row>
      <xdr:rowOff>36257</xdr:rowOff>
    </xdr:from>
    <xdr:to>
      <xdr:col>7</xdr:col>
      <xdr:colOff>708314</xdr:colOff>
      <xdr:row>397</xdr:row>
      <xdr:rowOff>96782</xdr:rowOff>
    </xdr:to>
    <xdr:pic>
      <xdr:nvPicPr>
        <xdr:cNvPr id="21" name="Picture 20">
          <a:extLst>
            <a:ext uri="{FF2B5EF4-FFF2-40B4-BE49-F238E27FC236}">
              <a16:creationId xmlns:a16="http://schemas.microsoft.com/office/drawing/2014/main" id="{6EC2002A-8532-54D4-0FE3-881C2723100C}"/>
            </a:ext>
          </a:extLst>
        </xdr:cNvPr>
        <xdr:cNvPicPr>
          <a:picLocks noChangeAspect="1"/>
        </xdr:cNvPicPr>
      </xdr:nvPicPr>
      <xdr:blipFill>
        <a:blip xmlns:r="http://schemas.openxmlformats.org/officeDocument/2006/relationships" r:embed="rId7"/>
        <a:stretch>
          <a:fillRect/>
        </a:stretch>
      </xdr:blipFill>
      <xdr:spPr>
        <a:xfrm>
          <a:off x="13556397719" y="81676176"/>
          <a:ext cx="536076" cy="266193"/>
        </a:xfrm>
        <a:prstGeom prst="rect">
          <a:avLst/>
        </a:prstGeom>
      </xdr:spPr>
    </xdr:pic>
    <xdr:clientData/>
  </xdr:twoCellAnchor>
  <xdr:twoCellAnchor>
    <xdr:from>
      <xdr:col>6</xdr:col>
      <xdr:colOff>250371</xdr:colOff>
      <xdr:row>386</xdr:row>
      <xdr:rowOff>25398</xdr:rowOff>
    </xdr:from>
    <xdr:to>
      <xdr:col>7</xdr:col>
      <xdr:colOff>562428</xdr:colOff>
      <xdr:row>393</xdr:row>
      <xdr:rowOff>137885</xdr:rowOff>
    </xdr:to>
    <xdr:sp macro="" textlink="">
      <xdr:nvSpPr>
        <xdr:cNvPr id="22" name="Rectangle 21">
          <a:extLst>
            <a:ext uri="{FF2B5EF4-FFF2-40B4-BE49-F238E27FC236}">
              <a16:creationId xmlns:a16="http://schemas.microsoft.com/office/drawing/2014/main" id="{4277D842-17EA-727E-FC26-1C9914D45D40}"/>
            </a:ext>
          </a:extLst>
        </xdr:cNvPr>
        <xdr:cNvSpPr/>
      </xdr:nvSpPr>
      <xdr:spPr>
        <a:xfrm>
          <a:off x="13548363629" y="78736369"/>
          <a:ext cx="1139371" cy="1534887"/>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תעודת</a:t>
          </a:r>
          <a:r>
            <a:rPr lang="he-IL" sz="1100" baseline="0"/>
            <a:t> פופקורנסיט מורשה: סאלח אסעד ת.ז. 111222 מוסמך למכור פופקורן</a:t>
          </a:r>
          <a:endParaRPr lang="en-US" sz="1100"/>
        </a:p>
      </xdr:txBody>
    </xdr:sp>
    <xdr:clientData/>
  </xdr:twoCellAnchor>
  <xdr:twoCellAnchor editAs="oneCell">
    <xdr:from>
      <xdr:col>6</xdr:col>
      <xdr:colOff>803729</xdr:colOff>
      <xdr:row>392</xdr:row>
      <xdr:rowOff>7258</xdr:rowOff>
    </xdr:from>
    <xdr:to>
      <xdr:col>7</xdr:col>
      <xdr:colOff>511992</xdr:colOff>
      <xdr:row>393</xdr:row>
      <xdr:rowOff>65315</xdr:rowOff>
    </xdr:to>
    <xdr:pic>
      <xdr:nvPicPr>
        <xdr:cNvPr id="23" name="Picture 22">
          <a:extLst>
            <a:ext uri="{FF2B5EF4-FFF2-40B4-BE49-F238E27FC236}">
              <a16:creationId xmlns:a16="http://schemas.microsoft.com/office/drawing/2014/main" id="{9D049797-07BA-C347-A365-05B2D6E11658}"/>
            </a:ext>
          </a:extLst>
        </xdr:cNvPr>
        <xdr:cNvPicPr>
          <a:picLocks noChangeAspect="1"/>
        </xdr:cNvPicPr>
      </xdr:nvPicPr>
      <xdr:blipFill>
        <a:blip xmlns:r="http://schemas.openxmlformats.org/officeDocument/2006/relationships" r:embed="rId7"/>
        <a:stretch>
          <a:fillRect/>
        </a:stretch>
      </xdr:blipFill>
      <xdr:spPr>
        <a:xfrm>
          <a:off x="13548414065" y="79937429"/>
          <a:ext cx="535577" cy="261257"/>
        </a:xfrm>
        <a:prstGeom prst="rect">
          <a:avLst/>
        </a:prstGeom>
      </xdr:spPr>
    </xdr:pic>
    <xdr:clientData/>
  </xdr:twoCellAnchor>
  <xdr:twoCellAnchor editAs="oneCell">
    <xdr:from>
      <xdr:col>0</xdr:col>
      <xdr:colOff>65313</xdr:colOff>
      <xdr:row>456</xdr:row>
      <xdr:rowOff>156028</xdr:rowOff>
    </xdr:from>
    <xdr:to>
      <xdr:col>0</xdr:col>
      <xdr:colOff>600890</xdr:colOff>
      <xdr:row>458</xdr:row>
      <xdr:rowOff>601</xdr:rowOff>
    </xdr:to>
    <xdr:pic>
      <xdr:nvPicPr>
        <xdr:cNvPr id="24" name="Picture 23">
          <a:extLst>
            <a:ext uri="{FF2B5EF4-FFF2-40B4-BE49-F238E27FC236}">
              <a16:creationId xmlns:a16="http://schemas.microsoft.com/office/drawing/2014/main" id="{5E4B040C-487B-234D-A832-F859D643EFC2}"/>
            </a:ext>
          </a:extLst>
        </xdr:cNvPr>
        <xdr:cNvPicPr>
          <a:picLocks noChangeAspect="1"/>
        </xdr:cNvPicPr>
      </xdr:nvPicPr>
      <xdr:blipFill>
        <a:blip xmlns:r="http://schemas.openxmlformats.org/officeDocument/2006/relationships" r:embed="rId7"/>
        <a:stretch>
          <a:fillRect/>
        </a:stretch>
      </xdr:blipFill>
      <xdr:spPr>
        <a:xfrm>
          <a:off x="13554116367" y="93090999"/>
          <a:ext cx="535577" cy="261257"/>
        </a:xfrm>
        <a:prstGeom prst="rect">
          <a:avLst/>
        </a:prstGeom>
      </xdr:spPr>
    </xdr:pic>
    <xdr:clientData/>
  </xdr:twoCellAnchor>
  <xdr:twoCellAnchor>
    <xdr:from>
      <xdr:col>3</xdr:col>
      <xdr:colOff>205619</xdr:colOff>
      <xdr:row>781</xdr:row>
      <xdr:rowOff>24190</xdr:rowOff>
    </xdr:from>
    <xdr:to>
      <xdr:col>3</xdr:col>
      <xdr:colOff>213683</xdr:colOff>
      <xdr:row>783</xdr:row>
      <xdr:rowOff>68539</xdr:rowOff>
    </xdr:to>
    <xdr:cxnSp macro="">
      <xdr:nvCxnSpPr>
        <xdr:cNvPr id="6" name="Straight Arrow Connector 5">
          <a:extLst>
            <a:ext uri="{FF2B5EF4-FFF2-40B4-BE49-F238E27FC236}">
              <a16:creationId xmlns:a16="http://schemas.microsoft.com/office/drawing/2014/main" id="{EBFBBD29-3173-0B7F-756D-313343614F44}"/>
            </a:ext>
          </a:extLst>
        </xdr:cNvPr>
        <xdr:cNvCxnSpPr/>
      </xdr:nvCxnSpPr>
      <xdr:spPr>
        <a:xfrm>
          <a:off x="13538812825" y="160060317"/>
          <a:ext cx="8064" cy="4475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358826</xdr:colOff>
      <xdr:row>786</xdr:row>
      <xdr:rowOff>36285</xdr:rowOff>
    </xdr:from>
    <xdr:to>
      <xdr:col>3</xdr:col>
      <xdr:colOff>141112</xdr:colOff>
      <xdr:row>787</xdr:row>
      <xdr:rowOff>112889</xdr:rowOff>
    </xdr:to>
    <xdr:cxnSp macro="">
      <xdr:nvCxnSpPr>
        <xdr:cNvPr id="7" name="Straight Arrow Connector 6">
          <a:extLst>
            <a:ext uri="{FF2B5EF4-FFF2-40B4-BE49-F238E27FC236}">
              <a16:creationId xmlns:a16="http://schemas.microsoft.com/office/drawing/2014/main" id="{AE4D6F0C-DB2C-B29D-E44A-5DA3C56AEA81}"/>
            </a:ext>
          </a:extLst>
        </xdr:cNvPr>
        <xdr:cNvCxnSpPr/>
      </xdr:nvCxnSpPr>
      <xdr:spPr>
        <a:xfrm>
          <a:off x="13538885396" y="161080348"/>
          <a:ext cx="608794" cy="278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302381</xdr:colOff>
      <xdr:row>791</xdr:row>
      <xdr:rowOff>56444</xdr:rowOff>
    </xdr:from>
    <xdr:to>
      <xdr:col>2</xdr:col>
      <xdr:colOff>310445</xdr:colOff>
      <xdr:row>793</xdr:row>
      <xdr:rowOff>12095</xdr:rowOff>
    </xdr:to>
    <xdr:cxnSp macro="">
      <xdr:nvCxnSpPr>
        <xdr:cNvPr id="12" name="Straight Arrow Connector 11">
          <a:extLst>
            <a:ext uri="{FF2B5EF4-FFF2-40B4-BE49-F238E27FC236}">
              <a16:creationId xmlns:a16="http://schemas.microsoft.com/office/drawing/2014/main" id="{3CC3CFA5-ABA5-4DFB-F6F4-87E9EB87BEA5}"/>
            </a:ext>
          </a:extLst>
        </xdr:cNvPr>
        <xdr:cNvCxnSpPr/>
      </xdr:nvCxnSpPr>
      <xdr:spPr>
        <a:xfrm>
          <a:off x="13539542571" y="162108444"/>
          <a:ext cx="8064" cy="3588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294318</xdr:colOff>
      <xdr:row>786</xdr:row>
      <xdr:rowOff>24191</xdr:rowOff>
    </xdr:from>
    <xdr:to>
      <xdr:col>4</xdr:col>
      <xdr:colOff>104825</xdr:colOff>
      <xdr:row>787</xdr:row>
      <xdr:rowOff>149174</xdr:rowOff>
    </xdr:to>
    <xdr:cxnSp macro="">
      <xdr:nvCxnSpPr>
        <xdr:cNvPr id="15" name="Straight Arrow Connector 14">
          <a:extLst>
            <a:ext uri="{FF2B5EF4-FFF2-40B4-BE49-F238E27FC236}">
              <a16:creationId xmlns:a16="http://schemas.microsoft.com/office/drawing/2014/main" id="{BF7A57AA-BB07-9AE5-9124-39D9DA74112A}"/>
            </a:ext>
          </a:extLst>
        </xdr:cNvPr>
        <xdr:cNvCxnSpPr/>
      </xdr:nvCxnSpPr>
      <xdr:spPr>
        <a:xfrm flipH="1">
          <a:off x="13538095175" y="161068254"/>
          <a:ext cx="637015" cy="32657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346730</xdr:colOff>
      <xdr:row>791</xdr:row>
      <xdr:rowOff>32253</xdr:rowOff>
    </xdr:from>
    <xdr:to>
      <xdr:col>4</xdr:col>
      <xdr:colOff>354794</xdr:colOff>
      <xdr:row>792</xdr:row>
      <xdr:rowOff>189492</xdr:rowOff>
    </xdr:to>
    <xdr:cxnSp macro="">
      <xdr:nvCxnSpPr>
        <xdr:cNvPr id="26" name="Straight Arrow Connector 25">
          <a:extLst>
            <a:ext uri="{FF2B5EF4-FFF2-40B4-BE49-F238E27FC236}">
              <a16:creationId xmlns:a16="http://schemas.microsoft.com/office/drawing/2014/main" id="{A9CA0ED1-49C9-232B-DCBB-2A273E70431C}"/>
            </a:ext>
          </a:extLst>
        </xdr:cNvPr>
        <xdr:cNvCxnSpPr/>
      </xdr:nvCxnSpPr>
      <xdr:spPr>
        <a:xfrm>
          <a:off x="13537845206" y="162084253"/>
          <a:ext cx="8064" cy="3588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622300</xdr:colOff>
      <xdr:row>392</xdr:row>
      <xdr:rowOff>88900</xdr:rowOff>
    </xdr:from>
    <xdr:to>
      <xdr:col>10</xdr:col>
      <xdr:colOff>539750</xdr:colOff>
      <xdr:row>395</xdr:row>
      <xdr:rowOff>165100</xdr:rowOff>
    </xdr:to>
    <xdr:cxnSp macro="">
      <xdr:nvCxnSpPr>
        <xdr:cNvPr id="3" name="Straight Arrow Connector 2">
          <a:extLst>
            <a:ext uri="{FF2B5EF4-FFF2-40B4-BE49-F238E27FC236}">
              <a16:creationId xmlns:a16="http://schemas.microsoft.com/office/drawing/2014/main" id="{D4E45603-76D4-6041-B8A6-609B1E1F655F}"/>
            </a:ext>
          </a:extLst>
        </xdr:cNvPr>
        <xdr:cNvCxnSpPr/>
      </xdr:nvCxnSpPr>
      <xdr:spPr>
        <a:xfrm>
          <a:off x="13560705351" y="93246228"/>
          <a:ext cx="745264" cy="6932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546100</xdr:colOff>
      <xdr:row>392</xdr:row>
      <xdr:rowOff>101600</xdr:rowOff>
    </xdr:from>
    <xdr:to>
      <xdr:col>11</xdr:col>
      <xdr:colOff>450850</xdr:colOff>
      <xdr:row>395</xdr:row>
      <xdr:rowOff>152400</xdr:rowOff>
    </xdr:to>
    <xdr:cxnSp macro="">
      <xdr:nvCxnSpPr>
        <xdr:cNvPr id="11" name="Straight Arrow Connector 10">
          <a:extLst>
            <a:ext uri="{FF2B5EF4-FFF2-40B4-BE49-F238E27FC236}">
              <a16:creationId xmlns:a16="http://schemas.microsoft.com/office/drawing/2014/main" id="{5F511284-E8B6-F649-8620-C7D16A942730}"/>
            </a:ext>
          </a:extLst>
        </xdr:cNvPr>
        <xdr:cNvCxnSpPr/>
      </xdr:nvCxnSpPr>
      <xdr:spPr>
        <a:xfrm flipH="1">
          <a:off x="13559966438" y="93258928"/>
          <a:ext cx="732563" cy="66780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65313</xdr:colOff>
      <xdr:row>396</xdr:row>
      <xdr:rowOff>156028</xdr:rowOff>
    </xdr:from>
    <xdr:ext cx="535577" cy="266193"/>
    <xdr:pic>
      <xdr:nvPicPr>
        <xdr:cNvPr id="14" name="Picture 13">
          <a:extLst>
            <a:ext uri="{FF2B5EF4-FFF2-40B4-BE49-F238E27FC236}">
              <a16:creationId xmlns:a16="http://schemas.microsoft.com/office/drawing/2014/main" id="{D5E6D5AD-95FA-C741-884A-769752350106}"/>
            </a:ext>
          </a:extLst>
        </xdr:cNvPr>
        <xdr:cNvPicPr>
          <a:picLocks noChangeAspect="1"/>
        </xdr:cNvPicPr>
      </xdr:nvPicPr>
      <xdr:blipFill>
        <a:blip xmlns:r="http://schemas.openxmlformats.org/officeDocument/2006/relationships" r:embed="rId7"/>
        <a:stretch>
          <a:fillRect/>
        </a:stretch>
      </xdr:blipFill>
      <xdr:spPr>
        <a:xfrm>
          <a:off x="13562299839" y="94146311"/>
          <a:ext cx="535577" cy="266193"/>
        </a:xfrm>
        <a:prstGeom prst="rect">
          <a:avLst/>
        </a:prstGeom>
      </xdr:spPr>
    </xdr:pic>
    <xdr:clientData/>
  </xdr:oneCellAnchor>
  <xdr:twoCellAnchor>
    <xdr:from>
      <xdr:col>3</xdr:col>
      <xdr:colOff>707927</xdr:colOff>
      <xdr:row>662</xdr:row>
      <xdr:rowOff>81821</xdr:rowOff>
    </xdr:from>
    <xdr:to>
      <xdr:col>4</xdr:col>
      <xdr:colOff>60476</xdr:colOff>
      <xdr:row>662</xdr:row>
      <xdr:rowOff>135182</xdr:rowOff>
    </xdr:to>
    <xdr:sp macro="" textlink="">
      <xdr:nvSpPr>
        <xdr:cNvPr id="20" name="Left Arrow 19">
          <a:extLst>
            <a:ext uri="{FF2B5EF4-FFF2-40B4-BE49-F238E27FC236}">
              <a16:creationId xmlns:a16="http://schemas.microsoft.com/office/drawing/2014/main" id="{DFDF9EDF-608A-79CA-5E07-193C1A7631A2}"/>
            </a:ext>
          </a:extLst>
        </xdr:cNvPr>
        <xdr:cNvSpPr/>
      </xdr:nvSpPr>
      <xdr:spPr>
        <a:xfrm>
          <a:off x="13518715994" y="135021989"/>
          <a:ext cx="177872" cy="53361"/>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722157</xdr:colOff>
      <xdr:row>661</xdr:row>
      <xdr:rowOff>67591</xdr:rowOff>
    </xdr:from>
    <xdr:to>
      <xdr:col>4</xdr:col>
      <xdr:colOff>74706</xdr:colOff>
      <xdr:row>661</xdr:row>
      <xdr:rowOff>120952</xdr:rowOff>
    </xdr:to>
    <xdr:sp macro="" textlink="">
      <xdr:nvSpPr>
        <xdr:cNvPr id="25" name="Left Arrow 24">
          <a:extLst>
            <a:ext uri="{FF2B5EF4-FFF2-40B4-BE49-F238E27FC236}">
              <a16:creationId xmlns:a16="http://schemas.microsoft.com/office/drawing/2014/main" id="{B310EE01-BCD9-6119-4225-A11D0EE12AC5}"/>
            </a:ext>
          </a:extLst>
        </xdr:cNvPr>
        <xdr:cNvSpPr/>
      </xdr:nvSpPr>
      <xdr:spPr>
        <a:xfrm>
          <a:off x="13518701764" y="134804986"/>
          <a:ext cx="177872" cy="53361"/>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640458</xdr:colOff>
      <xdr:row>704</xdr:row>
      <xdr:rowOff>156476</xdr:rowOff>
    </xdr:from>
    <xdr:to>
      <xdr:col>7</xdr:col>
      <xdr:colOff>87335</xdr:colOff>
      <xdr:row>705</xdr:row>
      <xdr:rowOff>200144</xdr:rowOff>
    </xdr:to>
    <xdr:sp macro="" textlink="">
      <xdr:nvSpPr>
        <xdr:cNvPr id="28" name="Smiley Face 27">
          <a:extLst>
            <a:ext uri="{FF2B5EF4-FFF2-40B4-BE49-F238E27FC236}">
              <a16:creationId xmlns:a16="http://schemas.microsoft.com/office/drawing/2014/main" id="{AABC7C8D-ADF1-C99A-4D7C-1676454B4E8A}"/>
            </a:ext>
          </a:extLst>
        </xdr:cNvPr>
        <xdr:cNvSpPr/>
      </xdr:nvSpPr>
      <xdr:spPr>
        <a:xfrm>
          <a:off x="13528065473" y="144215960"/>
          <a:ext cx="272923" cy="247450"/>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443954</xdr:colOff>
      <xdr:row>704</xdr:row>
      <xdr:rowOff>83697</xdr:rowOff>
    </xdr:from>
    <xdr:to>
      <xdr:col>6</xdr:col>
      <xdr:colOff>589513</xdr:colOff>
      <xdr:row>704</xdr:row>
      <xdr:rowOff>131003</xdr:rowOff>
    </xdr:to>
    <xdr:cxnSp macro="">
      <xdr:nvCxnSpPr>
        <xdr:cNvPr id="30" name="Straight Connector 29">
          <a:extLst>
            <a:ext uri="{FF2B5EF4-FFF2-40B4-BE49-F238E27FC236}">
              <a16:creationId xmlns:a16="http://schemas.microsoft.com/office/drawing/2014/main" id="{5C928337-B8EC-9AF2-DA2C-475C81131215}"/>
            </a:ext>
          </a:extLst>
        </xdr:cNvPr>
        <xdr:cNvCxnSpPr/>
      </xdr:nvCxnSpPr>
      <xdr:spPr>
        <a:xfrm flipV="1">
          <a:off x="13528389341" y="144143181"/>
          <a:ext cx="145559" cy="473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447593</xdr:colOff>
      <xdr:row>704</xdr:row>
      <xdr:rowOff>131003</xdr:rowOff>
    </xdr:from>
    <xdr:to>
      <xdr:col>6</xdr:col>
      <xdr:colOff>593152</xdr:colOff>
      <xdr:row>704</xdr:row>
      <xdr:rowOff>185588</xdr:rowOff>
    </xdr:to>
    <xdr:cxnSp macro="">
      <xdr:nvCxnSpPr>
        <xdr:cNvPr id="31" name="Straight Connector 30">
          <a:extLst>
            <a:ext uri="{FF2B5EF4-FFF2-40B4-BE49-F238E27FC236}">
              <a16:creationId xmlns:a16="http://schemas.microsoft.com/office/drawing/2014/main" id="{1FA674E9-4E15-07BD-1468-03AE1514583B}"/>
            </a:ext>
          </a:extLst>
        </xdr:cNvPr>
        <xdr:cNvCxnSpPr/>
      </xdr:nvCxnSpPr>
      <xdr:spPr>
        <a:xfrm flipV="1">
          <a:off x="13528385702" y="144190487"/>
          <a:ext cx="145559" cy="5458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458510</xdr:colOff>
      <xdr:row>704</xdr:row>
      <xdr:rowOff>189227</xdr:rowOff>
    </xdr:from>
    <xdr:to>
      <xdr:col>6</xdr:col>
      <xdr:colOff>585874</xdr:colOff>
      <xdr:row>705</xdr:row>
      <xdr:rowOff>65502</xdr:rowOff>
    </xdr:to>
    <xdr:cxnSp macro="">
      <xdr:nvCxnSpPr>
        <xdr:cNvPr id="33" name="Straight Connector 32">
          <a:extLst>
            <a:ext uri="{FF2B5EF4-FFF2-40B4-BE49-F238E27FC236}">
              <a16:creationId xmlns:a16="http://schemas.microsoft.com/office/drawing/2014/main" id="{E0B2174F-4334-CB47-21F7-46B7476DA349}"/>
            </a:ext>
          </a:extLst>
        </xdr:cNvPr>
        <xdr:cNvCxnSpPr/>
      </xdr:nvCxnSpPr>
      <xdr:spPr>
        <a:xfrm flipV="1">
          <a:off x="13528392980" y="144248711"/>
          <a:ext cx="127364" cy="800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753268</xdr:colOff>
      <xdr:row>781</xdr:row>
      <xdr:rowOff>178309</xdr:rowOff>
    </xdr:from>
    <xdr:to>
      <xdr:col>5</xdr:col>
      <xdr:colOff>262116</xdr:colOff>
      <xdr:row>786</xdr:row>
      <xdr:rowOff>149051</xdr:rowOff>
    </xdr:to>
    <xdr:pic>
      <xdr:nvPicPr>
        <xdr:cNvPr id="36" name="Picture 35">
          <a:extLst>
            <a:ext uri="{FF2B5EF4-FFF2-40B4-BE49-F238E27FC236}">
              <a16:creationId xmlns:a16="http://schemas.microsoft.com/office/drawing/2014/main" id="{CD3B179F-6BA7-8F5D-6C63-4DD905C96448}"/>
            </a:ext>
          </a:extLst>
        </xdr:cNvPr>
        <xdr:cNvPicPr>
          <a:picLocks noChangeAspect="1"/>
        </xdr:cNvPicPr>
      </xdr:nvPicPr>
      <xdr:blipFill>
        <a:blip xmlns:r="http://schemas.openxmlformats.org/officeDocument/2006/relationships" r:embed="rId8"/>
        <a:stretch>
          <a:fillRect/>
        </a:stretch>
      </xdr:blipFill>
      <xdr:spPr>
        <a:xfrm>
          <a:off x="13529542784" y="160060028"/>
          <a:ext cx="1160939" cy="989653"/>
        </a:xfrm>
        <a:prstGeom prst="rect">
          <a:avLst/>
        </a:prstGeom>
      </xdr:spPr>
    </xdr:pic>
    <xdr:clientData/>
  </xdr:twoCellAnchor>
  <xdr:twoCellAnchor>
    <xdr:from>
      <xdr:col>5</xdr:col>
      <xdr:colOff>323868</xdr:colOff>
      <xdr:row>782</xdr:row>
      <xdr:rowOff>69141</xdr:rowOff>
    </xdr:from>
    <xdr:to>
      <xdr:col>6</xdr:col>
      <xdr:colOff>822407</xdr:colOff>
      <xdr:row>785</xdr:row>
      <xdr:rowOff>50946</xdr:rowOff>
    </xdr:to>
    <xdr:sp macro="" textlink="">
      <xdr:nvSpPr>
        <xdr:cNvPr id="37" name="Rounded Rectangular Callout 36">
          <a:extLst>
            <a:ext uri="{FF2B5EF4-FFF2-40B4-BE49-F238E27FC236}">
              <a16:creationId xmlns:a16="http://schemas.microsoft.com/office/drawing/2014/main" id="{B5EE2CEF-BD47-563F-E7C9-5F6420EE7459}"/>
            </a:ext>
          </a:extLst>
        </xdr:cNvPr>
        <xdr:cNvSpPr/>
      </xdr:nvSpPr>
      <xdr:spPr>
        <a:xfrm>
          <a:off x="13528156447" y="160154642"/>
          <a:ext cx="1324585" cy="593152"/>
        </a:xfrm>
        <a:prstGeom prst="wedgeRoundRectCallout">
          <a:avLst>
            <a:gd name="adj1" fmla="val 75777"/>
            <a:gd name="adj2" fmla="val 1648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שימו</a:t>
          </a:r>
          <a:r>
            <a:rPr lang="he-IL" sz="1100" baseline="0"/>
            <a:t> לב היתה פה </a:t>
          </a:r>
        </a:p>
        <a:p>
          <a:pPr algn="r" rtl="1"/>
          <a:r>
            <a:rPr lang="en-US" sz="1100" baseline="0"/>
            <a:t>YARIDA</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245530</xdr:colOff>
      <xdr:row>225</xdr:row>
      <xdr:rowOff>165100</xdr:rowOff>
    </xdr:from>
    <xdr:to>
      <xdr:col>4</xdr:col>
      <xdr:colOff>245529</xdr:colOff>
      <xdr:row>226</xdr:row>
      <xdr:rowOff>186266</xdr:rowOff>
    </xdr:to>
    <xdr:sp macro="" textlink="">
      <xdr:nvSpPr>
        <xdr:cNvPr id="2" name="Left Brace 1">
          <a:extLst>
            <a:ext uri="{FF2B5EF4-FFF2-40B4-BE49-F238E27FC236}">
              <a16:creationId xmlns:a16="http://schemas.microsoft.com/office/drawing/2014/main" id="{D6F1680A-401A-C146-9961-1B5DD5DCF489}"/>
            </a:ext>
          </a:extLst>
        </xdr:cNvPr>
        <xdr:cNvSpPr/>
      </xdr:nvSpPr>
      <xdr:spPr>
        <a:xfrm rot="16200000">
          <a:off x="13522157788" y="20406783"/>
          <a:ext cx="224366" cy="165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330199</xdr:colOff>
      <xdr:row>358</xdr:row>
      <xdr:rowOff>8466</xdr:rowOff>
    </xdr:from>
    <xdr:to>
      <xdr:col>3</xdr:col>
      <xdr:colOff>152400</xdr:colOff>
      <xdr:row>359</xdr:row>
      <xdr:rowOff>194733</xdr:rowOff>
    </xdr:to>
    <xdr:cxnSp macro="">
      <xdr:nvCxnSpPr>
        <xdr:cNvPr id="3" name="Straight Arrow Connector 2">
          <a:extLst>
            <a:ext uri="{FF2B5EF4-FFF2-40B4-BE49-F238E27FC236}">
              <a16:creationId xmlns:a16="http://schemas.microsoft.com/office/drawing/2014/main" id="{4BB74CA4-9216-544A-A984-1F56BFFBB7F1}"/>
            </a:ext>
          </a:extLst>
        </xdr:cNvPr>
        <xdr:cNvCxnSpPr/>
      </xdr:nvCxnSpPr>
      <xdr:spPr>
        <a:xfrm>
          <a:off x="13522363100" y="41588266"/>
          <a:ext cx="647701" cy="38946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482599</xdr:colOff>
      <xdr:row>357</xdr:row>
      <xdr:rowOff>211667</xdr:rowOff>
    </xdr:from>
    <xdr:to>
      <xdr:col>4</xdr:col>
      <xdr:colOff>33867</xdr:colOff>
      <xdr:row>360</xdr:row>
      <xdr:rowOff>59266</xdr:rowOff>
    </xdr:to>
    <xdr:cxnSp macro="">
      <xdr:nvCxnSpPr>
        <xdr:cNvPr id="4" name="Straight Arrow Connector 3">
          <a:extLst>
            <a:ext uri="{FF2B5EF4-FFF2-40B4-BE49-F238E27FC236}">
              <a16:creationId xmlns:a16="http://schemas.microsoft.com/office/drawing/2014/main" id="{7E543249-A544-ED44-B94C-7A5934E36D23}"/>
            </a:ext>
          </a:extLst>
        </xdr:cNvPr>
        <xdr:cNvCxnSpPr/>
      </xdr:nvCxnSpPr>
      <xdr:spPr>
        <a:xfrm flipH="1">
          <a:off x="13521656133" y="41575567"/>
          <a:ext cx="376768" cy="46989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245530</xdr:colOff>
      <xdr:row>399</xdr:row>
      <xdr:rowOff>165100</xdr:rowOff>
    </xdr:from>
    <xdr:to>
      <xdr:col>4</xdr:col>
      <xdr:colOff>245529</xdr:colOff>
      <xdr:row>400</xdr:row>
      <xdr:rowOff>186266</xdr:rowOff>
    </xdr:to>
    <xdr:sp macro="" textlink="">
      <xdr:nvSpPr>
        <xdr:cNvPr id="5" name="Left Brace 4">
          <a:extLst>
            <a:ext uri="{FF2B5EF4-FFF2-40B4-BE49-F238E27FC236}">
              <a16:creationId xmlns:a16="http://schemas.microsoft.com/office/drawing/2014/main" id="{2BE149D3-1D50-4F48-AFE1-4AD85085F9A1}"/>
            </a:ext>
          </a:extLst>
        </xdr:cNvPr>
        <xdr:cNvSpPr/>
      </xdr:nvSpPr>
      <xdr:spPr>
        <a:xfrm rot="16200000">
          <a:off x="13522157788" y="49413583"/>
          <a:ext cx="224366" cy="165099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660400</xdr:colOff>
      <xdr:row>388</xdr:row>
      <xdr:rowOff>8467</xdr:rowOff>
    </xdr:from>
    <xdr:to>
      <xdr:col>2</xdr:col>
      <xdr:colOff>33866</xdr:colOff>
      <xdr:row>389</xdr:row>
      <xdr:rowOff>42334</xdr:rowOff>
    </xdr:to>
    <xdr:sp macro="" textlink="">
      <xdr:nvSpPr>
        <xdr:cNvPr id="6" name="Down Arrow 5">
          <a:extLst>
            <a:ext uri="{FF2B5EF4-FFF2-40B4-BE49-F238E27FC236}">
              <a16:creationId xmlns:a16="http://schemas.microsoft.com/office/drawing/2014/main" id="{6310A510-5B5C-2E4A-AE22-E3A21FADBEFE}"/>
            </a:ext>
          </a:extLst>
        </xdr:cNvPr>
        <xdr:cNvSpPr/>
      </xdr:nvSpPr>
      <xdr:spPr>
        <a:xfrm>
          <a:off x="13523307134" y="47735067"/>
          <a:ext cx="198966" cy="23706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389467</xdr:colOff>
      <xdr:row>387</xdr:row>
      <xdr:rowOff>194734</xdr:rowOff>
    </xdr:from>
    <xdr:to>
      <xdr:col>4</xdr:col>
      <xdr:colOff>592667</xdr:colOff>
      <xdr:row>389</xdr:row>
      <xdr:rowOff>25401</xdr:rowOff>
    </xdr:to>
    <xdr:sp macro="" textlink="">
      <xdr:nvSpPr>
        <xdr:cNvPr id="7" name="Down Arrow 6">
          <a:extLst>
            <a:ext uri="{FF2B5EF4-FFF2-40B4-BE49-F238E27FC236}">
              <a16:creationId xmlns:a16="http://schemas.microsoft.com/office/drawing/2014/main" id="{80D56A7B-D227-2146-8296-81F3578939E6}"/>
            </a:ext>
          </a:extLst>
        </xdr:cNvPr>
        <xdr:cNvSpPr/>
      </xdr:nvSpPr>
      <xdr:spPr>
        <a:xfrm>
          <a:off x="13521097333" y="47718134"/>
          <a:ext cx="203200" cy="23706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609599</xdr:colOff>
      <xdr:row>293</xdr:row>
      <xdr:rowOff>16934</xdr:rowOff>
    </xdr:from>
    <xdr:to>
      <xdr:col>5</xdr:col>
      <xdr:colOff>618066</xdr:colOff>
      <xdr:row>295</xdr:row>
      <xdr:rowOff>143934</xdr:rowOff>
    </xdr:to>
    <xdr:cxnSp macro="">
      <xdr:nvCxnSpPr>
        <xdr:cNvPr id="8" name="Straight Arrow Connector 7">
          <a:extLst>
            <a:ext uri="{FF2B5EF4-FFF2-40B4-BE49-F238E27FC236}">
              <a16:creationId xmlns:a16="http://schemas.microsoft.com/office/drawing/2014/main" id="{9CDB1DFA-B544-3741-8991-7E8377A0524B}"/>
            </a:ext>
          </a:extLst>
        </xdr:cNvPr>
        <xdr:cNvCxnSpPr/>
      </xdr:nvCxnSpPr>
      <xdr:spPr>
        <a:xfrm>
          <a:off x="13520246434" y="29328534"/>
          <a:ext cx="8467" cy="533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381000</xdr:colOff>
      <xdr:row>293</xdr:row>
      <xdr:rowOff>16934</xdr:rowOff>
    </xdr:from>
    <xdr:to>
      <xdr:col>5</xdr:col>
      <xdr:colOff>186266</xdr:colOff>
      <xdr:row>295</xdr:row>
      <xdr:rowOff>152400</xdr:rowOff>
    </xdr:to>
    <xdr:cxnSp macro="">
      <xdr:nvCxnSpPr>
        <xdr:cNvPr id="9" name="Straight Arrow Connector 8">
          <a:extLst>
            <a:ext uri="{FF2B5EF4-FFF2-40B4-BE49-F238E27FC236}">
              <a16:creationId xmlns:a16="http://schemas.microsoft.com/office/drawing/2014/main" id="{5F3BA2E8-BEFC-0A42-95FC-187F643C90A5}"/>
            </a:ext>
          </a:extLst>
        </xdr:cNvPr>
        <xdr:cNvCxnSpPr/>
      </xdr:nvCxnSpPr>
      <xdr:spPr>
        <a:xfrm>
          <a:off x="13520678234" y="29328534"/>
          <a:ext cx="630766" cy="541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423333</xdr:colOff>
      <xdr:row>308</xdr:row>
      <xdr:rowOff>177801</xdr:rowOff>
    </xdr:from>
    <xdr:to>
      <xdr:col>5</xdr:col>
      <xdr:colOff>237066</xdr:colOff>
      <xdr:row>311</xdr:row>
      <xdr:rowOff>42334</xdr:rowOff>
    </xdr:to>
    <xdr:cxnSp macro="">
      <xdr:nvCxnSpPr>
        <xdr:cNvPr id="10" name="Straight Arrow Connector 9">
          <a:extLst>
            <a:ext uri="{FF2B5EF4-FFF2-40B4-BE49-F238E27FC236}">
              <a16:creationId xmlns:a16="http://schemas.microsoft.com/office/drawing/2014/main" id="{93663E00-3555-2A48-AEDF-36B392A62FD5}"/>
            </a:ext>
          </a:extLst>
        </xdr:cNvPr>
        <xdr:cNvCxnSpPr/>
      </xdr:nvCxnSpPr>
      <xdr:spPr>
        <a:xfrm>
          <a:off x="13520627434" y="32537401"/>
          <a:ext cx="639233" cy="4741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677333</xdr:colOff>
      <xdr:row>309</xdr:row>
      <xdr:rowOff>16934</xdr:rowOff>
    </xdr:from>
    <xdr:to>
      <xdr:col>5</xdr:col>
      <xdr:colOff>677333</xdr:colOff>
      <xdr:row>311</xdr:row>
      <xdr:rowOff>93134</xdr:rowOff>
    </xdr:to>
    <xdr:cxnSp macro="">
      <xdr:nvCxnSpPr>
        <xdr:cNvPr id="11" name="Straight Arrow Connector 10">
          <a:extLst>
            <a:ext uri="{FF2B5EF4-FFF2-40B4-BE49-F238E27FC236}">
              <a16:creationId xmlns:a16="http://schemas.microsoft.com/office/drawing/2014/main" id="{F3F4A4DB-D011-9243-8E2A-E04EA2F2E00B}"/>
            </a:ext>
          </a:extLst>
        </xdr:cNvPr>
        <xdr:cNvCxnSpPr/>
      </xdr:nvCxnSpPr>
      <xdr:spPr>
        <a:xfrm>
          <a:off x="13520187167" y="32579734"/>
          <a:ext cx="0" cy="482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282219</xdr:colOff>
      <xdr:row>508</xdr:row>
      <xdr:rowOff>180309</xdr:rowOff>
    </xdr:from>
    <xdr:to>
      <xdr:col>5</xdr:col>
      <xdr:colOff>96685</xdr:colOff>
      <xdr:row>509</xdr:row>
      <xdr:rowOff>104526</xdr:rowOff>
    </xdr:to>
    <xdr:sp macro="" textlink="">
      <xdr:nvSpPr>
        <xdr:cNvPr id="12" name="Left Brace 11">
          <a:extLst>
            <a:ext uri="{FF2B5EF4-FFF2-40B4-BE49-F238E27FC236}">
              <a16:creationId xmlns:a16="http://schemas.microsoft.com/office/drawing/2014/main" id="{5D78926C-47C4-AD45-BC5D-8F1AD415E115}"/>
            </a:ext>
          </a:extLst>
        </xdr:cNvPr>
        <xdr:cNvSpPr/>
      </xdr:nvSpPr>
      <xdr:spPr>
        <a:xfrm rot="16200000">
          <a:off x="13521849589" y="70269335"/>
          <a:ext cx="127417" cy="2290966"/>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304800</xdr:colOff>
      <xdr:row>585</xdr:row>
      <xdr:rowOff>6350</xdr:rowOff>
    </xdr:from>
    <xdr:to>
      <xdr:col>5</xdr:col>
      <xdr:colOff>292100</xdr:colOff>
      <xdr:row>585</xdr:row>
      <xdr:rowOff>190500</xdr:rowOff>
    </xdr:to>
    <xdr:sp macro="" textlink="">
      <xdr:nvSpPr>
        <xdr:cNvPr id="13" name="Left Brace 12">
          <a:extLst>
            <a:ext uri="{FF2B5EF4-FFF2-40B4-BE49-F238E27FC236}">
              <a16:creationId xmlns:a16="http://schemas.microsoft.com/office/drawing/2014/main" id="{1276611E-6B68-EB44-8B36-165DB665A436}"/>
            </a:ext>
          </a:extLst>
        </xdr:cNvPr>
        <xdr:cNvSpPr/>
      </xdr:nvSpPr>
      <xdr:spPr>
        <a:xfrm rot="16200000">
          <a:off x="13521712225" y="82305525"/>
          <a:ext cx="184150" cy="24638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19</xdr:col>
      <xdr:colOff>155807</xdr:colOff>
      <xdr:row>15</xdr:row>
      <xdr:rowOff>191428</xdr:rowOff>
    </xdr:from>
    <xdr:to>
      <xdr:col>23</xdr:col>
      <xdr:colOff>422121</xdr:colOff>
      <xdr:row>31</xdr:row>
      <xdr:rowOff>104379</xdr:rowOff>
    </xdr:to>
    <xdr:grpSp>
      <xdr:nvGrpSpPr>
        <xdr:cNvPr id="27" name="Group 26">
          <a:extLst>
            <a:ext uri="{FF2B5EF4-FFF2-40B4-BE49-F238E27FC236}">
              <a16:creationId xmlns:a16="http://schemas.microsoft.com/office/drawing/2014/main" id="{D1689911-0D79-3D0D-FB77-217B298B9DC0}"/>
            </a:ext>
          </a:extLst>
        </xdr:cNvPr>
        <xdr:cNvGrpSpPr/>
      </xdr:nvGrpSpPr>
      <xdr:grpSpPr>
        <a:xfrm>
          <a:off x="13526501302" y="3259884"/>
          <a:ext cx="3573428" cy="3185972"/>
          <a:chOff x="13488816001" y="2715131"/>
          <a:chExt cx="3560889" cy="3194728"/>
        </a:xfrm>
      </xdr:grpSpPr>
      <xdr:pic>
        <xdr:nvPicPr>
          <xdr:cNvPr id="14" name="Picture 13">
            <a:extLst>
              <a:ext uri="{FF2B5EF4-FFF2-40B4-BE49-F238E27FC236}">
                <a16:creationId xmlns:a16="http://schemas.microsoft.com/office/drawing/2014/main" id="{090E6A17-5192-0C25-CFC3-F21F8575D9D7}"/>
              </a:ext>
            </a:extLst>
          </xdr:cNvPr>
          <xdr:cNvPicPr>
            <a:picLocks noChangeAspect="1"/>
          </xdr:cNvPicPr>
        </xdr:nvPicPr>
        <xdr:blipFill>
          <a:blip xmlns:r="http://schemas.openxmlformats.org/officeDocument/2006/relationships" r:embed="rId1"/>
          <a:stretch>
            <a:fillRect/>
          </a:stretch>
        </xdr:blipFill>
        <xdr:spPr>
          <a:xfrm>
            <a:off x="13489994925" y="2715131"/>
            <a:ext cx="1384319" cy="1184479"/>
          </a:xfrm>
          <a:prstGeom prst="rect">
            <a:avLst/>
          </a:prstGeom>
        </xdr:spPr>
      </xdr:pic>
      <xdr:pic>
        <xdr:nvPicPr>
          <xdr:cNvPr id="15" name="Picture 14">
            <a:extLst>
              <a:ext uri="{FF2B5EF4-FFF2-40B4-BE49-F238E27FC236}">
                <a16:creationId xmlns:a16="http://schemas.microsoft.com/office/drawing/2014/main" id="{FF439974-06AA-BFD5-9C09-D3BDB64764D7}"/>
              </a:ext>
            </a:extLst>
          </xdr:cNvPr>
          <xdr:cNvPicPr>
            <a:picLocks noChangeAspect="1"/>
          </xdr:cNvPicPr>
        </xdr:nvPicPr>
        <xdr:blipFill>
          <a:blip xmlns:r="http://schemas.openxmlformats.org/officeDocument/2006/relationships" r:embed="rId2"/>
          <a:stretch>
            <a:fillRect/>
          </a:stretch>
        </xdr:blipFill>
        <xdr:spPr>
          <a:xfrm>
            <a:off x="13490881300" y="4344020"/>
            <a:ext cx="1495590" cy="1460710"/>
          </a:xfrm>
          <a:prstGeom prst="rect">
            <a:avLst/>
          </a:prstGeom>
        </xdr:spPr>
      </xdr:pic>
      <xdr:pic>
        <xdr:nvPicPr>
          <xdr:cNvPr id="16" name="Picture 15">
            <a:extLst>
              <a:ext uri="{FF2B5EF4-FFF2-40B4-BE49-F238E27FC236}">
                <a16:creationId xmlns:a16="http://schemas.microsoft.com/office/drawing/2014/main" id="{B1F36612-E095-666C-A04D-A0164BA98C64}"/>
              </a:ext>
            </a:extLst>
          </xdr:cNvPr>
          <xdr:cNvPicPr>
            <a:picLocks noChangeAspect="1"/>
          </xdr:cNvPicPr>
        </xdr:nvPicPr>
        <xdr:blipFill>
          <a:blip xmlns:r="http://schemas.openxmlformats.org/officeDocument/2006/relationships" r:embed="rId3"/>
          <a:stretch>
            <a:fillRect/>
          </a:stretch>
        </xdr:blipFill>
        <xdr:spPr>
          <a:xfrm>
            <a:off x="13488816001" y="4236069"/>
            <a:ext cx="2123467" cy="1673790"/>
          </a:xfrm>
          <a:prstGeom prst="rect">
            <a:avLst/>
          </a:prstGeom>
        </xdr:spPr>
      </xdr:pic>
      <xdr:cxnSp macro="">
        <xdr:nvCxnSpPr>
          <xdr:cNvPr id="18" name="Straight Arrow Connector 17">
            <a:extLst>
              <a:ext uri="{FF2B5EF4-FFF2-40B4-BE49-F238E27FC236}">
                <a16:creationId xmlns:a16="http://schemas.microsoft.com/office/drawing/2014/main" id="{DBAF0C00-E44A-E619-DAA5-48E94FE61E9E}"/>
              </a:ext>
            </a:extLst>
          </xdr:cNvPr>
          <xdr:cNvCxnSpPr/>
        </xdr:nvCxnSpPr>
        <xdr:spPr>
          <a:xfrm flipH="1">
            <a:off x="13490130933" y="3918822"/>
            <a:ext cx="374508" cy="322199"/>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cxnSp macro="">
        <xdr:nvCxnSpPr>
          <xdr:cNvPr id="19" name="Straight Arrow Connector 18">
            <a:extLst>
              <a:ext uri="{FF2B5EF4-FFF2-40B4-BE49-F238E27FC236}">
                <a16:creationId xmlns:a16="http://schemas.microsoft.com/office/drawing/2014/main" id="{66B44437-EA98-492A-A581-115CFB18A4F6}"/>
              </a:ext>
            </a:extLst>
          </xdr:cNvPr>
          <xdr:cNvCxnSpPr/>
        </xdr:nvCxnSpPr>
        <xdr:spPr>
          <a:xfrm>
            <a:off x="13490993902" y="3899284"/>
            <a:ext cx="403816" cy="312430"/>
          </a:xfrm>
          <a:prstGeom prst="straightConnector1">
            <a:avLst/>
          </a:prstGeom>
          <a:ln>
            <a:tailEnd type="triangle"/>
          </a:ln>
        </xdr:spPr>
        <xdr:style>
          <a:lnRef idx="3">
            <a:schemeClr val="dk1"/>
          </a:lnRef>
          <a:fillRef idx="0">
            <a:schemeClr val="dk1"/>
          </a:fillRef>
          <a:effectRef idx="2">
            <a:schemeClr val="dk1"/>
          </a:effectRef>
          <a:fontRef idx="minor">
            <a:schemeClr val="tx1"/>
          </a:fontRef>
        </xdr:style>
      </xdr:cxnSp>
    </xdr:grpSp>
    <xdr:clientData/>
  </xdr:twoCellAnchor>
  <xdr:twoCellAnchor>
    <xdr:from>
      <xdr:col>3</xdr:col>
      <xdr:colOff>69272</xdr:colOff>
      <xdr:row>324</xdr:row>
      <xdr:rowOff>30788</xdr:rowOff>
    </xdr:from>
    <xdr:to>
      <xdr:col>3</xdr:col>
      <xdr:colOff>661939</xdr:colOff>
      <xdr:row>324</xdr:row>
      <xdr:rowOff>180879</xdr:rowOff>
    </xdr:to>
    <xdr:sp macro="" textlink="">
      <xdr:nvSpPr>
        <xdr:cNvPr id="21" name="Left Arrow 20">
          <a:extLst>
            <a:ext uri="{FF2B5EF4-FFF2-40B4-BE49-F238E27FC236}">
              <a16:creationId xmlns:a16="http://schemas.microsoft.com/office/drawing/2014/main" id="{FBDDA379-1AE0-0639-5301-5D2A26572164}"/>
            </a:ext>
          </a:extLst>
        </xdr:cNvPr>
        <xdr:cNvSpPr/>
      </xdr:nvSpPr>
      <xdr:spPr>
        <a:xfrm>
          <a:off x="13553374576" y="49075879"/>
          <a:ext cx="592667" cy="150091"/>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630902</xdr:colOff>
      <xdr:row>505</xdr:row>
      <xdr:rowOff>172064</xdr:rowOff>
    </xdr:from>
    <xdr:to>
      <xdr:col>7</xdr:col>
      <xdr:colOff>639096</xdr:colOff>
      <xdr:row>507</xdr:row>
      <xdr:rowOff>86032</xdr:rowOff>
    </xdr:to>
    <xdr:cxnSp macro="">
      <xdr:nvCxnSpPr>
        <xdr:cNvPr id="20" name="Straight Arrow Connector 19">
          <a:extLst>
            <a:ext uri="{FF2B5EF4-FFF2-40B4-BE49-F238E27FC236}">
              <a16:creationId xmlns:a16="http://schemas.microsoft.com/office/drawing/2014/main" id="{9563C121-095D-04D2-0D90-C4F4D7DE32C3}"/>
            </a:ext>
          </a:extLst>
        </xdr:cNvPr>
        <xdr:cNvCxnSpPr/>
      </xdr:nvCxnSpPr>
      <xdr:spPr>
        <a:xfrm flipH="1">
          <a:off x="13552120839" y="85270258"/>
          <a:ext cx="8194" cy="32364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40968</xdr:colOff>
      <xdr:row>563</xdr:row>
      <xdr:rowOff>184354</xdr:rowOff>
    </xdr:from>
    <xdr:to>
      <xdr:col>3</xdr:col>
      <xdr:colOff>553064</xdr:colOff>
      <xdr:row>566</xdr:row>
      <xdr:rowOff>65548</xdr:rowOff>
    </xdr:to>
    <xdr:cxnSp macro="">
      <xdr:nvCxnSpPr>
        <xdr:cNvPr id="17" name="Straight Arrow Connector 22">
          <a:extLst>
            <a:ext uri="{FF2B5EF4-FFF2-40B4-BE49-F238E27FC236}">
              <a16:creationId xmlns:a16="http://schemas.microsoft.com/office/drawing/2014/main" id="{F9E1DD84-CD0C-B484-6FE7-FD0B74C37823}"/>
            </a:ext>
          </a:extLst>
        </xdr:cNvPr>
        <xdr:cNvCxnSpPr/>
      </xdr:nvCxnSpPr>
      <xdr:spPr>
        <a:xfrm flipH="1" flipV="1">
          <a:off x="13555517065" y="97236935"/>
          <a:ext cx="512096" cy="508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69645</xdr:colOff>
      <xdr:row>566</xdr:row>
      <xdr:rowOff>86032</xdr:rowOff>
    </xdr:from>
    <xdr:to>
      <xdr:col>3</xdr:col>
      <xdr:colOff>581742</xdr:colOff>
      <xdr:row>568</xdr:row>
      <xdr:rowOff>45064</xdr:rowOff>
    </xdr:to>
    <xdr:cxnSp macro="">
      <xdr:nvCxnSpPr>
        <xdr:cNvPr id="22" name="Straight Arrow Connector 23">
          <a:extLst>
            <a:ext uri="{FF2B5EF4-FFF2-40B4-BE49-F238E27FC236}">
              <a16:creationId xmlns:a16="http://schemas.microsoft.com/office/drawing/2014/main" id="{55265D38-37CF-19CA-1CCD-A744ABD8A4DF}"/>
            </a:ext>
          </a:extLst>
        </xdr:cNvPr>
        <xdr:cNvCxnSpPr/>
      </xdr:nvCxnSpPr>
      <xdr:spPr>
        <a:xfrm flipH="1">
          <a:off x="13555488387" y="97765419"/>
          <a:ext cx="512097" cy="381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589035</xdr:colOff>
      <xdr:row>241</xdr:row>
      <xdr:rowOff>6810</xdr:rowOff>
    </xdr:from>
    <xdr:to>
      <xdr:col>5</xdr:col>
      <xdr:colOff>680965</xdr:colOff>
      <xdr:row>242</xdr:row>
      <xdr:rowOff>71502</xdr:rowOff>
    </xdr:to>
    <xdr:sp macro="" textlink="">
      <xdr:nvSpPr>
        <xdr:cNvPr id="23" name="Down Arrow 22">
          <a:extLst>
            <a:ext uri="{FF2B5EF4-FFF2-40B4-BE49-F238E27FC236}">
              <a16:creationId xmlns:a16="http://schemas.microsoft.com/office/drawing/2014/main" id="{C8CE8CB9-F324-5A2C-076B-E5EC93F1002A}"/>
            </a:ext>
          </a:extLst>
        </xdr:cNvPr>
        <xdr:cNvSpPr/>
      </xdr:nvSpPr>
      <xdr:spPr>
        <a:xfrm>
          <a:off x="13495088097" y="42192601"/>
          <a:ext cx="91930" cy="26898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742252</xdr:colOff>
      <xdr:row>241</xdr:row>
      <xdr:rowOff>0</xdr:rowOff>
    </xdr:from>
    <xdr:to>
      <xdr:col>5</xdr:col>
      <xdr:colOff>10214</xdr:colOff>
      <xdr:row>242</xdr:row>
      <xdr:rowOff>64692</xdr:rowOff>
    </xdr:to>
    <xdr:sp macro="" textlink="">
      <xdr:nvSpPr>
        <xdr:cNvPr id="24" name="Down Arrow 23">
          <a:extLst>
            <a:ext uri="{FF2B5EF4-FFF2-40B4-BE49-F238E27FC236}">
              <a16:creationId xmlns:a16="http://schemas.microsoft.com/office/drawing/2014/main" id="{85BA8F91-3C65-3791-BADB-80A758E8AAC3}"/>
            </a:ext>
          </a:extLst>
        </xdr:cNvPr>
        <xdr:cNvSpPr/>
      </xdr:nvSpPr>
      <xdr:spPr>
        <a:xfrm rot="19511963">
          <a:off x="13495758848" y="42185791"/>
          <a:ext cx="91930" cy="26898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314879</xdr:colOff>
      <xdr:row>242</xdr:row>
      <xdr:rowOff>39110</xdr:rowOff>
    </xdr:from>
    <xdr:to>
      <xdr:col>4</xdr:col>
      <xdr:colOff>403090</xdr:colOff>
      <xdr:row>242</xdr:row>
      <xdr:rowOff>131040</xdr:rowOff>
    </xdr:to>
    <xdr:sp macro="" textlink="">
      <xdr:nvSpPr>
        <xdr:cNvPr id="25" name="Down Arrow 24">
          <a:extLst>
            <a:ext uri="{FF2B5EF4-FFF2-40B4-BE49-F238E27FC236}">
              <a16:creationId xmlns:a16="http://schemas.microsoft.com/office/drawing/2014/main" id="{FBB4697D-A85C-690A-0B38-FE679B3E90F1}"/>
            </a:ext>
          </a:extLst>
        </xdr:cNvPr>
        <xdr:cNvSpPr/>
      </xdr:nvSpPr>
      <xdr:spPr>
        <a:xfrm rot="18833617">
          <a:off x="13496600065" y="42019065"/>
          <a:ext cx="91930" cy="9121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115764</xdr:colOff>
      <xdr:row>243</xdr:row>
      <xdr:rowOff>3405</xdr:rowOff>
    </xdr:from>
    <xdr:to>
      <xdr:col>2</xdr:col>
      <xdr:colOff>221088</xdr:colOff>
      <xdr:row>244</xdr:row>
      <xdr:rowOff>142799</xdr:rowOff>
    </xdr:to>
    <xdr:sp macro="" textlink="">
      <xdr:nvSpPr>
        <xdr:cNvPr id="26" name="Down Arrow 25">
          <a:extLst>
            <a:ext uri="{FF2B5EF4-FFF2-40B4-BE49-F238E27FC236}">
              <a16:creationId xmlns:a16="http://schemas.microsoft.com/office/drawing/2014/main" id="{77C234D9-4C7E-3A65-9710-87CBFF6C00DD}"/>
            </a:ext>
          </a:extLst>
        </xdr:cNvPr>
        <xdr:cNvSpPr/>
      </xdr:nvSpPr>
      <xdr:spPr>
        <a:xfrm>
          <a:off x="13498019877" y="42597775"/>
          <a:ext cx="105324" cy="34368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674987</xdr:colOff>
      <xdr:row>337</xdr:row>
      <xdr:rowOff>195139</xdr:rowOff>
    </xdr:from>
    <xdr:to>
      <xdr:col>6</xdr:col>
      <xdr:colOff>70378</xdr:colOff>
      <xdr:row>338</xdr:row>
      <xdr:rowOff>156751</xdr:rowOff>
    </xdr:to>
    <xdr:cxnSp macro="">
      <xdr:nvCxnSpPr>
        <xdr:cNvPr id="28" name="Straight Arrow Connector 27">
          <a:extLst>
            <a:ext uri="{FF2B5EF4-FFF2-40B4-BE49-F238E27FC236}">
              <a16:creationId xmlns:a16="http://schemas.microsoft.com/office/drawing/2014/main" id="{9F5317DC-6376-83DB-0E7B-3C3B86903BF5}"/>
            </a:ext>
          </a:extLst>
        </xdr:cNvPr>
        <xdr:cNvCxnSpPr/>
      </xdr:nvCxnSpPr>
      <xdr:spPr>
        <a:xfrm flipH="1">
          <a:off x="13517348967" y="62236398"/>
          <a:ext cx="220731" cy="16634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790151</xdr:colOff>
      <xdr:row>337</xdr:row>
      <xdr:rowOff>195139</xdr:rowOff>
    </xdr:from>
    <xdr:to>
      <xdr:col>5</xdr:col>
      <xdr:colOff>201536</xdr:colOff>
      <xdr:row>338</xdr:row>
      <xdr:rowOff>134358</xdr:rowOff>
    </xdr:to>
    <xdr:cxnSp macro="">
      <xdr:nvCxnSpPr>
        <xdr:cNvPr id="29" name="Straight Arrow Connector 28">
          <a:extLst>
            <a:ext uri="{FF2B5EF4-FFF2-40B4-BE49-F238E27FC236}">
              <a16:creationId xmlns:a16="http://schemas.microsoft.com/office/drawing/2014/main" id="{37D96B71-BDFA-2B81-0A57-75028635BEE3}"/>
            </a:ext>
          </a:extLst>
        </xdr:cNvPr>
        <xdr:cNvCxnSpPr/>
      </xdr:nvCxnSpPr>
      <xdr:spPr>
        <a:xfrm>
          <a:off x="13518043149" y="62236398"/>
          <a:ext cx="236725" cy="1439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598212</xdr:colOff>
      <xdr:row>378</xdr:row>
      <xdr:rowOff>92770</xdr:rowOff>
    </xdr:from>
    <xdr:to>
      <xdr:col>7</xdr:col>
      <xdr:colOff>601411</xdr:colOff>
      <xdr:row>379</xdr:row>
      <xdr:rowOff>57582</xdr:rowOff>
    </xdr:to>
    <xdr:cxnSp macro="">
      <xdr:nvCxnSpPr>
        <xdr:cNvPr id="32" name="Straight Arrow Connector 31">
          <a:extLst>
            <a:ext uri="{FF2B5EF4-FFF2-40B4-BE49-F238E27FC236}">
              <a16:creationId xmlns:a16="http://schemas.microsoft.com/office/drawing/2014/main" id="{214AB93B-3FD0-0EC7-3A29-225BA4934EE2}"/>
            </a:ext>
          </a:extLst>
        </xdr:cNvPr>
        <xdr:cNvCxnSpPr/>
      </xdr:nvCxnSpPr>
      <xdr:spPr>
        <a:xfrm flipH="1" flipV="1">
          <a:off x="13515992594" y="70566574"/>
          <a:ext cx="3199" cy="1695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83174</xdr:colOff>
      <xdr:row>378</xdr:row>
      <xdr:rowOff>9597</xdr:rowOff>
    </xdr:from>
    <xdr:to>
      <xdr:col>6</xdr:col>
      <xdr:colOff>793350</xdr:colOff>
      <xdr:row>379</xdr:row>
      <xdr:rowOff>41587</xdr:rowOff>
    </xdr:to>
    <xdr:cxnSp macro="">
      <xdr:nvCxnSpPr>
        <xdr:cNvPr id="33" name="Straight Arrow Connector 32">
          <a:extLst>
            <a:ext uri="{FF2B5EF4-FFF2-40B4-BE49-F238E27FC236}">
              <a16:creationId xmlns:a16="http://schemas.microsoft.com/office/drawing/2014/main" id="{D28B44C4-93E2-D73A-63FF-EC37F2C35672}"/>
            </a:ext>
          </a:extLst>
        </xdr:cNvPr>
        <xdr:cNvCxnSpPr/>
      </xdr:nvCxnSpPr>
      <xdr:spPr>
        <a:xfrm flipV="1">
          <a:off x="13516625995" y="70483401"/>
          <a:ext cx="710176" cy="23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729575</xdr:colOff>
      <xdr:row>60</xdr:row>
      <xdr:rowOff>58487</xdr:rowOff>
    </xdr:from>
    <xdr:to>
      <xdr:col>2</xdr:col>
      <xdr:colOff>78771</xdr:colOff>
      <xdr:row>60</xdr:row>
      <xdr:rowOff>150395</xdr:rowOff>
    </xdr:to>
    <xdr:sp macro="" textlink="">
      <xdr:nvSpPr>
        <xdr:cNvPr id="30" name="Left Arrow 29">
          <a:extLst>
            <a:ext uri="{FF2B5EF4-FFF2-40B4-BE49-F238E27FC236}">
              <a16:creationId xmlns:a16="http://schemas.microsoft.com/office/drawing/2014/main" id="{6FE2BE4B-E004-30AC-2938-E77B6DD425E0}"/>
            </a:ext>
          </a:extLst>
        </xdr:cNvPr>
        <xdr:cNvSpPr/>
      </xdr:nvSpPr>
      <xdr:spPr>
        <a:xfrm>
          <a:off x="13529185325" y="4342824"/>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745799</xdr:colOff>
      <xdr:row>57</xdr:row>
      <xdr:rowOff>63588</xdr:rowOff>
    </xdr:from>
    <xdr:to>
      <xdr:col>2</xdr:col>
      <xdr:colOff>94995</xdr:colOff>
      <xdr:row>57</xdr:row>
      <xdr:rowOff>155496</xdr:rowOff>
    </xdr:to>
    <xdr:sp macro="" textlink="">
      <xdr:nvSpPr>
        <xdr:cNvPr id="31" name="Left Arrow 30">
          <a:extLst>
            <a:ext uri="{FF2B5EF4-FFF2-40B4-BE49-F238E27FC236}">
              <a16:creationId xmlns:a16="http://schemas.microsoft.com/office/drawing/2014/main" id="{9BCB3286-CC19-08FE-615A-C8A3E5769439}"/>
            </a:ext>
          </a:extLst>
        </xdr:cNvPr>
        <xdr:cNvSpPr/>
      </xdr:nvSpPr>
      <xdr:spPr>
        <a:xfrm>
          <a:off x="13529169101" y="3735877"/>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720814</xdr:colOff>
      <xdr:row>57</xdr:row>
      <xdr:rowOff>63588</xdr:rowOff>
    </xdr:from>
    <xdr:to>
      <xdr:col>4</xdr:col>
      <xdr:colOff>70010</xdr:colOff>
      <xdr:row>57</xdr:row>
      <xdr:rowOff>155496</xdr:rowOff>
    </xdr:to>
    <xdr:sp macro="" textlink="">
      <xdr:nvSpPr>
        <xdr:cNvPr id="34" name="Left Arrow 33">
          <a:extLst>
            <a:ext uri="{FF2B5EF4-FFF2-40B4-BE49-F238E27FC236}">
              <a16:creationId xmlns:a16="http://schemas.microsoft.com/office/drawing/2014/main" id="{2C908977-C3CE-FE09-3352-2E321C4184F9}"/>
            </a:ext>
          </a:extLst>
        </xdr:cNvPr>
        <xdr:cNvSpPr/>
      </xdr:nvSpPr>
      <xdr:spPr>
        <a:xfrm>
          <a:off x="13527541556" y="3735877"/>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714275</xdr:colOff>
      <xdr:row>60</xdr:row>
      <xdr:rowOff>57456</xdr:rowOff>
    </xdr:from>
    <xdr:to>
      <xdr:col>4</xdr:col>
      <xdr:colOff>63471</xdr:colOff>
      <xdr:row>60</xdr:row>
      <xdr:rowOff>149364</xdr:rowOff>
    </xdr:to>
    <xdr:sp macro="" textlink="">
      <xdr:nvSpPr>
        <xdr:cNvPr id="35" name="Left Arrow 34">
          <a:extLst>
            <a:ext uri="{FF2B5EF4-FFF2-40B4-BE49-F238E27FC236}">
              <a16:creationId xmlns:a16="http://schemas.microsoft.com/office/drawing/2014/main" id="{2E750E20-5260-04C1-09CC-394E6FE4D6DC}"/>
            </a:ext>
          </a:extLst>
        </xdr:cNvPr>
        <xdr:cNvSpPr/>
      </xdr:nvSpPr>
      <xdr:spPr>
        <a:xfrm>
          <a:off x="13527548095" y="4341793"/>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695825</xdr:colOff>
      <xdr:row>60</xdr:row>
      <xdr:rowOff>63073</xdr:rowOff>
    </xdr:from>
    <xdr:to>
      <xdr:col>6</xdr:col>
      <xdr:colOff>46015</xdr:colOff>
      <xdr:row>60</xdr:row>
      <xdr:rowOff>154981</xdr:rowOff>
    </xdr:to>
    <xdr:sp macro="" textlink="">
      <xdr:nvSpPr>
        <xdr:cNvPr id="36" name="Left Arrow 35">
          <a:extLst>
            <a:ext uri="{FF2B5EF4-FFF2-40B4-BE49-F238E27FC236}">
              <a16:creationId xmlns:a16="http://schemas.microsoft.com/office/drawing/2014/main" id="{6BFD5A03-B97F-3186-0EF0-E4CCBBC7FD09}"/>
            </a:ext>
          </a:extLst>
        </xdr:cNvPr>
        <xdr:cNvSpPr/>
      </xdr:nvSpPr>
      <xdr:spPr>
        <a:xfrm>
          <a:off x="13509636295" y="4299463"/>
          <a:ext cx="175461"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695825</xdr:colOff>
      <xdr:row>60</xdr:row>
      <xdr:rowOff>63073</xdr:rowOff>
    </xdr:from>
    <xdr:to>
      <xdr:col>8</xdr:col>
      <xdr:colOff>46015</xdr:colOff>
      <xdr:row>60</xdr:row>
      <xdr:rowOff>154981</xdr:rowOff>
    </xdr:to>
    <xdr:sp macro="" textlink="">
      <xdr:nvSpPr>
        <xdr:cNvPr id="37" name="Left Arrow 36">
          <a:extLst>
            <a:ext uri="{FF2B5EF4-FFF2-40B4-BE49-F238E27FC236}">
              <a16:creationId xmlns:a16="http://schemas.microsoft.com/office/drawing/2014/main" id="{1BABD200-FD88-044B-9DC5-62B346AB56AD}"/>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695825</xdr:colOff>
      <xdr:row>60</xdr:row>
      <xdr:rowOff>63073</xdr:rowOff>
    </xdr:from>
    <xdr:to>
      <xdr:col>8</xdr:col>
      <xdr:colOff>46015</xdr:colOff>
      <xdr:row>60</xdr:row>
      <xdr:rowOff>154981</xdr:rowOff>
    </xdr:to>
    <xdr:sp macro="" textlink="">
      <xdr:nvSpPr>
        <xdr:cNvPr id="38" name="Left Arrow 37">
          <a:extLst>
            <a:ext uri="{FF2B5EF4-FFF2-40B4-BE49-F238E27FC236}">
              <a16:creationId xmlns:a16="http://schemas.microsoft.com/office/drawing/2014/main" id="{89359FA1-A8FA-D840-AB8D-AA47FF15861F}"/>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9</xdr:col>
      <xdr:colOff>695825</xdr:colOff>
      <xdr:row>60</xdr:row>
      <xdr:rowOff>63073</xdr:rowOff>
    </xdr:from>
    <xdr:to>
      <xdr:col>10</xdr:col>
      <xdr:colOff>46015</xdr:colOff>
      <xdr:row>60</xdr:row>
      <xdr:rowOff>154981</xdr:rowOff>
    </xdr:to>
    <xdr:sp macro="" textlink="">
      <xdr:nvSpPr>
        <xdr:cNvPr id="39" name="Left Arrow 38">
          <a:extLst>
            <a:ext uri="{FF2B5EF4-FFF2-40B4-BE49-F238E27FC236}">
              <a16:creationId xmlns:a16="http://schemas.microsoft.com/office/drawing/2014/main" id="{ED8E575B-C5C8-D84F-AA25-5A1C6AD889DF}"/>
            </a:ext>
          </a:extLst>
        </xdr:cNvPr>
        <xdr:cNvSpPr/>
      </xdr:nvSpPr>
      <xdr:spPr>
        <a:xfrm>
          <a:off x="13525913021" y="4347410"/>
          <a:ext cx="176455" cy="91908"/>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600730</xdr:colOff>
      <xdr:row>90</xdr:row>
      <xdr:rowOff>64507</xdr:rowOff>
    </xdr:from>
    <xdr:to>
      <xdr:col>9</xdr:col>
      <xdr:colOff>677333</xdr:colOff>
      <xdr:row>95</xdr:row>
      <xdr:rowOff>24189</xdr:rowOff>
    </xdr:to>
    <xdr:sp macro="" textlink="">
      <xdr:nvSpPr>
        <xdr:cNvPr id="41" name="Rectangle 40">
          <a:extLst>
            <a:ext uri="{FF2B5EF4-FFF2-40B4-BE49-F238E27FC236}">
              <a16:creationId xmlns:a16="http://schemas.microsoft.com/office/drawing/2014/main" id="{0B64A8C8-3DC0-6B42-790F-7C9620A452B8}"/>
            </a:ext>
          </a:extLst>
        </xdr:cNvPr>
        <xdr:cNvSpPr/>
      </xdr:nvSpPr>
      <xdr:spPr>
        <a:xfrm>
          <a:off x="13533390127" y="18336380"/>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הכרה</a:t>
          </a:r>
          <a:r>
            <a:rPr lang="he-IL" sz="1100" baseline="0"/>
            <a:t> בנב״מ</a:t>
          </a:r>
        </a:p>
        <a:p>
          <a:pPr algn="ctr" rtl="1"/>
          <a:r>
            <a:rPr lang="he-IL" sz="1100" baseline="0"/>
            <a:t>וזיהוי אורך חייו - </a:t>
          </a:r>
        </a:p>
        <a:p>
          <a:pPr algn="ctr" rtl="1"/>
          <a:r>
            <a:rPr lang="he-IL" sz="1100" baseline="0"/>
            <a:t>״רגיל״ / ״סופי״ </a:t>
          </a:r>
        </a:p>
        <a:p>
          <a:pPr algn="ctr" rtl="1"/>
          <a:r>
            <a:rPr lang="he-IL" sz="1100" baseline="0"/>
            <a:t>או בלתי מוגדר</a:t>
          </a:r>
          <a:endParaRPr lang="en-US" sz="1100"/>
        </a:p>
      </xdr:txBody>
    </xdr:sp>
    <xdr:clientData/>
  </xdr:twoCellAnchor>
  <xdr:twoCellAnchor>
    <xdr:from>
      <xdr:col>8</xdr:col>
      <xdr:colOff>1189365</xdr:colOff>
      <xdr:row>95</xdr:row>
      <xdr:rowOff>32253</xdr:rowOff>
    </xdr:from>
    <xdr:to>
      <xdr:col>9</xdr:col>
      <xdr:colOff>108857</xdr:colOff>
      <xdr:row>98</xdr:row>
      <xdr:rowOff>193524</xdr:rowOff>
    </xdr:to>
    <xdr:sp macro="" textlink="">
      <xdr:nvSpPr>
        <xdr:cNvPr id="42" name="Down Arrow 41">
          <a:extLst>
            <a:ext uri="{FF2B5EF4-FFF2-40B4-BE49-F238E27FC236}">
              <a16:creationId xmlns:a16="http://schemas.microsoft.com/office/drawing/2014/main" id="{5D49FB64-C8DD-6474-6771-DFC2CABCD8C7}"/>
            </a:ext>
          </a:extLst>
        </xdr:cNvPr>
        <xdr:cNvSpPr/>
      </xdr:nvSpPr>
      <xdr:spPr>
        <a:xfrm>
          <a:off x="13533958603" y="19312063"/>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592666</xdr:colOff>
      <xdr:row>99</xdr:row>
      <xdr:rowOff>12094</xdr:rowOff>
    </xdr:from>
    <xdr:to>
      <xdr:col>9</xdr:col>
      <xdr:colOff>669269</xdr:colOff>
      <xdr:row>103</xdr:row>
      <xdr:rowOff>173364</xdr:rowOff>
    </xdr:to>
    <xdr:sp macro="" textlink="">
      <xdr:nvSpPr>
        <xdr:cNvPr id="43" name="Rectangle 42">
          <a:extLst>
            <a:ext uri="{FF2B5EF4-FFF2-40B4-BE49-F238E27FC236}">
              <a16:creationId xmlns:a16="http://schemas.microsoft.com/office/drawing/2014/main" id="{B48EC31A-27FA-F2A4-9402-71961066A5DD}"/>
            </a:ext>
          </a:extLst>
        </xdr:cNvPr>
        <xdr:cNvSpPr/>
      </xdr:nvSpPr>
      <xdr:spPr>
        <a:xfrm>
          <a:off x="13533398191" y="20098253"/>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כאן: אורך חיים בלתי מוגדר, כי ניתן לחדש ללא הגבלה בעלות זניחה, ויש כוונה כזו</a:t>
          </a:r>
          <a:endParaRPr lang="en-US" sz="1100"/>
        </a:p>
      </xdr:txBody>
    </xdr:sp>
    <xdr:clientData/>
  </xdr:twoCellAnchor>
  <xdr:twoCellAnchor>
    <xdr:from>
      <xdr:col>8</xdr:col>
      <xdr:colOff>1193397</xdr:colOff>
      <xdr:row>104</xdr:row>
      <xdr:rowOff>8064</xdr:rowOff>
    </xdr:from>
    <xdr:to>
      <xdr:col>9</xdr:col>
      <xdr:colOff>112889</xdr:colOff>
      <xdr:row>107</xdr:row>
      <xdr:rowOff>169334</xdr:rowOff>
    </xdr:to>
    <xdr:sp macro="" textlink="">
      <xdr:nvSpPr>
        <xdr:cNvPr id="44" name="Down Arrow 43">
          <a:extLst>
            <a:ext uri="{FF2B5EF4-FFF2-40B4-BE49-F238E27FC236}">
              <a16:creationId xmlns:a16="http://schemas.microsoft.com/office/drawing/2014/main" id="{370F10DF-7715-2049-5987-8CFF23398333}"/>
            </a:ext>
          </a:extLst>
        </xdr:cNvPr>
        <xdr:cNvSpPr/>
      </xdr:nvSpPr>
      <xdr:spPr>
        <a:xfrm>
          <a:off x="13533954571" y="21102159"/>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616857</xdr:colOff>
      <xdr:row>108</xdr:row>
      <xdr:rowOff>28221</xdr:rowOff>
    </xdr:from>
    <xdr:to>
      <xdr:col>9</xdr:col>
      <xdr:colOff>693460</xdr:colOff>
      <xdr:row>112</xdr:row>
      <xdr:rowOff>189490</xdr:rowOff>
    </xdr:to>
    <xdr:sp macro="" textlink="">
      <xdr:nvSpPr>
        <xdr:cNvPr id="45" name="Rectangle 44">
          <a:extLst>
            <a:ext uri="{FF2B5EF4-FFF2-40B4-BE49-F238E27FC236}">
              <a16:creationId xmlns:a16="http://schemas.microsoft.com/office/drawing/2014/main" id="{A9430F49-32CC-88B8-A509-756A03B1C336}"/>
            </a:ext>
          </a:extLst>
        </xdr:cNvPr>
        <xdr:cNvSpPr/>
      </xdr:nvSpPr>
      <xdr:spPr>
        <a:xfrm>
          <a:off x="13533374000" y="21928665"/>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הואיל ובלתי מוגדר, אין רישום הוצאות פחת</a:t>
          </a:r>
        </a:p>
        <a:p>
          <a:pPr algn="ctr" rtl="1"/>
          <a:endParaRPr lang="he-IL" sz="1100"/>
        </a:p>
        <a:p>
          <a:pPr algn="ctr" rtl="1"/>
          <a:r>
            <a:rPr lang="he-IL" sz="1100"/>
            <a:t>מודדים לפי הערכה מחדש (כאן!)</a:t>
          </a:r>
          <a:endParaRPr lang="en-US" sz="1100"/>
        </a:p>
      </xdr:txBody>
    </xdr:sp>
    <xdr:clientData/>
  </xdr:twoCellAnchor>
  <xdr:twoCellAnchor>
    <xdr:from>
      <xdr:col>8</xdr:col>
      <xdr:colOff>1205493</xdr:colOff>
      <xdr:row>113</xdr:row>
      <xdr:rowOff>40318</xdr:rowOff>
    </xdr:from>
    <xdr:to>
      <xdr:col>9</xdr:col>
      <xdr:colOff>124985</xdr:colOff>
      <xdr:row>117</xdr:row>
      <xdr:rowOff>1</xdr:rowOff>
    </xdr:to>
    <xdr:sp macro="" textlink="">
      <xdr:nvSpPr>
        <xdr:cNvPr id="46" name="Down Arrow 45">
          <a:extLst>
            <a:ext uri="{FF2B5EF4-FFF2-40B4-BE49-F238E27FC236}">
              <a16:creationId xmlns:a16="http://schemas.microsoft.com/office/drawing/2014/main" id="{91FD1621-F244-9B5F-F26F-A51869C17B6D}"/>
            </a:ext>
          </a:extLst>
        </xdr:cNvPr>
        <xdr:cNvSpPr/>
      </xdr:nvSpPr>
      <xdr:spPr>
        <a:xfrm>
          <a:off x="13533942475" y="22948699"/>
          <a:ext cx="290286" cy="7660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588634</xdr:colOff>
      <xdr:row>117</xdr:row>
      <xdr:rowOff>80633</xdr:rowOff>
    </xdr:from>
    <xdr:to>
      <xdr:col>9</xdr:col>
      <xdr:colOff>665237</xdr:colOff>
      <xdr:row>122</xdr:row>
      <xdr:rowOff>40315</xdr:rowOff>
    </xdr:to>
    <xdr:sp macro="" textlink="">
      <xdr:nvSpPr>
        <xdr:cNvPr id="47" name="Rectangle 46">
          <a:extLst>
            <a:ext uri="{FF2B5EF4-FFF2-40B4-BE49-F238E27FC236}">
              <a16:creationId xmlns:a16="http://schemas.microsoft.com/office/drawing/2014/main" id="{E8FE09D1-6822-BD73-BA95-14416E65A050}"/>
            </a:ext>
          </a:extLst>
        </xdr:cNvPr>
        <xdr:cNvSpPr/>
      </xdr:nvSpPr>
      <xdr:spPr>
        <a:xfrm>
          <a:off x="13533402223" y="23795363"/>
          <a:ext cx="1447397" cy="9676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לאחר השערוך, הואיל ואורך החיים בלתי מוגדר, יש לבדוק גם את סב״ה</a:t>
          </a:r>
          <a:r>
            <a:rPr lang="he-IL" sz="1100" baseline="0"/>
            <a:t> - לירידת ערך</a:t>
          </a:r>
          <a:endParaRPr lang="en-US" sz="1100"/>
        </a:p>
      </xdr:txBody>
    </xdr:sp>
    <xdr:clientData/>
  </xdr:twoCellAnchor>
  <xdr:twoCellAnchor>
    <xdr:from>
      <xdr:col>8</xdr:col>
      <xdr:colOff>1189789</xdr:colOff>
      <xdr:row>122</xdr:row>
      <xdr:rowOff>120527</xdr:rowOff>
    </xdr:from>
    <xdr:to>
      <xdr:col>9</xdr:col>
      <xdr:colOff>133897</xdr:colOff>
      <xdr:row>136</xdr:row>
      <xdr:rowOff>196070</xdr:rowOff>
    </xdr:to>
    <xdr:sp macro="" textlink="">
      <xdr:nvSpPr>
        <xdr:cNvPr id="48" name="Down Arrow 47">
          <a:extLst>
            <a:ext uri="{FF2B5EF4-FFF2-40B4-BE49-F238E27FC236}">
              <a16:creationId xmlns:a16="http://schemas.microsoft.com/office/drawing/2014/main" id="{13C89ED1-D86E-4AFB-34ED-2E6E81378A8B}"/>
            </a:ext>
          </a:extLst>
        </xdr:cNvPr>
        <xdr:cNvSpPr/>
      </xdr:nvSpPr>
      <xdr:spPr>
        <a:xfrm>
          <a:off x="13499186278" y="25253159"/>
          <a:ext cx="316599" cy="296312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557018</xdr:colOff>
      <xdr:row>137</xdr:row>
      <xdr:rowOff>40105</xdr:rowOff>
    </xdr:from>
    <xdr:to>
      <xdr:col>9</xdr:col>
      <xdr:colOff>633621</xdr:colOff>
      <xdr:row>141</xdr:row>
      <xdr:rowOff>195858</xdr:rowOff>
    </xdr:to>
    <xdr:sp macro="" textlink="">
      <xdr:nvSpPr>
        <xdr:cNvPr id="49" name="Rectangle 48">
          <a:extLst>
            <a:ext uri="{FF2B5EF4-FFF2-40B4-BE49-F238E27FC236}">
              <a16:creationId xmlns:a16="http://schemas.microsoft.com/office/drawing/2014/main" id="{26DC4CEA-0E2C-9648-BDAA-E837A44FB6AE}"/>
            </a:ext>
          </a:extLst>
        </xdr:cNvPr>
        <xdr:cNvSpPr/>
      </xdr:nvSpPr>
      <xdr:spPr>
        <a:xfrm>
          <a:off x="13498686554" y="28265298"/>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הואיל ויש מסים, נעניק גם ביטוי להיבט</a:t>
          </a:r>
          <a:r>
            <a:rPr lang="he-IL" sz="1100" baseline="0"/>
            <a:t> המס הנדחה</a:t>
          </a:r>
          <a:endParaRPr lang="en-US" sz="1100"/>
        </a:p>
      </xdr:txBody>
    </xdr:sp>
    <xdr:clientData/>
  </xdr:twoCellAnchor>
  <xdr:twoCellAnchor>
    <xdr:from>
      <xdr:col>8</xdr:col>
      <xdr:colOff>1158596</xdr:colOff>
      <xdr:row>141</xdr:row>
      <xdr:rowOff>204982</xdr:rowOff>
    </xdr:from>
    <xdr:to>
      <xdr:col>9</xdr:col>
      <xdr:colOff>116073</xdr:colOff>
      <xdr:row>147</xdr:row>
      <xdr:rowOff>200526</xdr:rowOff>
    </xdr:to>
    <xdr:sp macro="" textlink="">
      <xdr:nvSpPr>
        <xdr:cNvPr id="50" name="Down Arrow 49">
          <a:extLst>
            <a:ext uri="{FF2B5EF4-FFF2-40B4-BE49-F238E27FC236}">
              <a16:creationId xmlns:a16="http://schemas.microsoft.com/office/drawing/2014/main" id="{AEF62E16-E089-7DBC-524D-0E1EED7B0528}"/>
            </a:ext>
          </a:extLst>
        </xdr:cNvPr>
        <xdr:cNvSpPr/>
      </xdr:nvSpPr>
      <xdr:spPr>
        <a:xfrm>
          <a:off x="13499204102" y="29259017"/>
          <a:ext cx="329968" cy="123435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592667</xdr:colOff>
      <xdr:row>148</xdr:row>
      <xdr:rowOff>40104</xdr:rowOff>
    </xdr:from>
    <xdr:to>
      <xdr:col>9</xdr:col>
      <xdr:colOff>669270</xdr:colOff>
      <xdr:row>152</xdr:row>
      <xdr:rowOff>204770</xdr:rowOff>
    </xdr:to>
    <xdr:sp macro="" textlink="">
      <xdr:nvSpPr>
        <xdr:cNvPr id="51" name="Rectangle 50">
          <a:extLst>
            <a:ext uri="{FF2B5EF4-FFF2-40B4-BE49-F238E27FC236}">
              <a16:creationId xmlns:a16="http://schemas.microsoft.com/office/drawing/2014/main" id="{9A1DFE35-296B-E663-E277-3181C5F34F1A}"/>
            </a:ext>
          </a:extLst>
        </xdr:cNvPr>
        <xdr:cNvSpPr/>
      </xdr:nvSpPr>
      <xdr:spPr>
        <a:xfrm>
          <a:off x="13498650905" y="30537929"/>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יש למדוד את ערך הספרים של הנכס, וכן את</a:t>
          </a:r>
          <a:r>
            <a:rPr lang="he-IL" sz="1100" baseline="0"/>
            <a:t> ערכו לצורך מס</a:t>
          </a:r>
          <a:endParaRPr lang="en-US" sz="1100"/>
        </a:p>
      </xdr:txBody>
    </xdr:sp>
    <xdr:clientData/>
  </xdr:twoCellAnchor>
  <xdr:twoCellAnchor>
    <xdr:from>
      <xdr:col>8</xdr:col>
      <xdr:colOff>1185333</xdr:colOff>
      <xdr:row>153</xdr:row>
      <xdr:rowOff>4456</xdr:rowOff>
    </xdr:from>
    <xdr:to>
      <xdr:col>9</xdr:col>
      <xdr:colOff>107161</xdr:colOff>
      <xdr:row>155</xdr:row>
      <xdr:rowOff>17825</xdr:rowOff>
    </xdr:to>
    <xdr:sp macro="" textlink="">
      <xdr:nvSpPr>
        <xdr:cNvPr id="52" name="Down Arrow 51">
          <a:extLst>
            <a:ext uri="{FF2B5EF4-FFF2-40B4-BE49-F238E27FC236}">
              <a16:creationId xmlns:a16="http://schemas.microsoft.com/office/drawing/2014/main" id="{40A0DDD1-B900-A5CB-5740-5FE4A43046C9}"/>
            </a:ext>
          </a:extLst>
        </xdr:cNvPr>
        <xdr:cNvSpPr/>
      </xdr:nvSpPr>
      <xdr:spPr>
        <a:xfrm>
          <a:off x="13499213014" y="31527193"/>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592667</xdr:colOff>
      <xdr:row>155</xdr:row>
      <xdr:rowOff>53472</xdr:rowOff>
    </xdr:from>
    <xdr:to>
      <xdr:col>9</xdr:col>
      <xdr:colOff>669270</xdr:colOff>
      <xdr:row>160</xdr:row>
      <xdr:rowOff>13155</xdr:rowOff>
    </xdr:to>
    <xdr:sp macro="" textlink="">
      <xdr:nvSpPr>
        <xdr:cNvPr id="53" name="Rectangle 52">
          <a:extLst>
            <a:ext uri="{FF2B5EF4-FFF2-40B4-BE49-F238E27FC236}">
              <a16:creationId xmlns:a16="http://schemas.microsoft.com/office/drawing/2014/main" id="{238098B2-6F1A-A755-C93D-A9E7D4F88648}"/>
            </a:ext>
          </a:extLst>
        </xdr:cNvPr>
        <xdr:cNvSpPr/>
      </xdr:nvSpPr>
      <xdr:spPr>
        <a:xfrm>
          <a:off x="13498650905" y="31986174"/>
          <a:ext cx="1449094"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ערך הספרים של הנכס גבוה מז</a:t>
          </a:r>
          <a:r>
            <a:rPr lang="he-IL" sz="1100" baseline="0"/>
            <a:t>ה שנוצר לצורך מס, נוצרת התחייבות למס נדחה</a:t>
          </a:r>
          <a:endParaRPr lang="en-US" sz="1100"/>
        </a:p>
      </xdr:txBody>
    </xdr:sp>
    <xdr:clientData/>
  </xdr:twoCellAnchor>
  <xdr:twoCellAnchor>
    <xdr:from>
      <xdr:col>8</xdr:col>
      <xdr:colOff>73630</xdr:colOff>
      <xdr:row>157</xdr:row>
      <xdr:rowOff>6576</xdr:rowOff>
    </xdr:from>
    <xdr:to>
      <xdr:col>8</xdr:col>
      <xdr:colOff>496964</xdr:colOff>
      <xdr:row>158</xdr:row>
      <xdr:rowOff>95913</xdr:rowOff>
    </xdr:to>
    <xdr:sp macro="" textlink="">
      <xdr:nvSpPr>
        <xdr:cNvPr id="54" name="Down Arrow 53">
          <a:extLst>
            <a:ext uri="{FF2B5EF4-FFF2-40B4-BE49-F238E27FC236}">
              <a16:creationId xmlns:a16="http://schemas.microsoft.com/office/drawing/2014/main" id="{42D7FD3F-3D44-B7C0-2728-1B4A87E4C662}"/>
            </a:ext>
          </a:extLst>
        </xdr:cNvPr>
        <xdr:cNvSpPr/>
      </xdr:nvSpPr>
      <xdr:spPr>
        <a:xfrm rot="16200000">
          <a:off x="13500260209" y="32284736"/>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632771</xdr:colOff>
      <xdr:row>155</xdr:row>
      <xdr:rowOff>66841</xdr:rowOff>
    </xdr:from>
    <xdr:to>
      <xdr:col>8</xdr:col>
      <xdr:colOff>849</xdr:colOff>
      <xdr:row>160</xdr:row>
      <xdr:rowOff>26524</xdr:rowOff>
    </xdr:to>
    <xdr:sp macro="" textlink="">
      <xdr:nvSpPr>
        <xdr:cNvPr id="55" name="Rectangle 54">
          <a:extLst>
            <a:ext uri="{FF2B5EF4-FFF2-40B4-BE49-F238E27FC236}">
              <a16:creationId xmlns:a16="http://schemas.microsoft.com/office/drawing/2014/main" id="{B298AB3C-B0C2-6CDA-1A05-78043EAE3A68}"/>
            </a:ext>
          </a:extLst>
        </xdr:cNvPr>
        <xdr:cNvSpPr/>
      </xdr:nvSpPr>
      <xdr:spPr>
        <a:xfrm>
          <a:off x="13500691817" y="31999543"/>
          <a:ext cx="1841236" cy="98459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כל ההפרש ביני ובין מס הכנסה נובע מהשערוך וקרן ההון, את ההתחייבות למסים נדחים לא ארשום כנגד הוצאות מס אלא כנגד קרן ההון</a:t>
          </a:r>
          <a:endParaRPr lang="en-US" sz="1100"/>
        </a:p>
      </xdr:txBody>
    </xdr:sp>
    <xdr:clientData/>
  </xdr:twoCellAnchor>
  <xdr:twoCellAnchor>
    <xdr:from>
      <xdr:col>7</xdr:col>
      <xdr:colOff>285190</xdr:colOff>
      <xdr:row>160</xdr:row>
      <xdr:rowOff>53473</xdr:rowOff>
    </xdr:from>
    <xdr:to>
      <xdr:col>7</xdr:col>
      <xdr:colOff>579509</xdr:colOff>
      <xdr:row>162</xdr:row>
      <xdr:rowOff>66842</xdr:rowOff>
    </xdr:to>
    <xdr:sp macro="" textlink="">
      <xdr:nvSpPr>
        <xdr:cNvPr id="56" name="Down Arrow 55">
          <a:extLst>
            <a:ext uri="{FF2B5EF4-FFF2-40B4-BE49-F238E27FC236}">
              <a16:creationId xmlns:a16="http://schemas.microsoft.com/office/drawing/2014/main" id="{2DB9844F-A066-E84A-AAA9-5560EB67BFEC}"/>
            </a:ext>
          </a:extLst>
        </xdr:cNvPr>
        <xdr:cNvSpPr/>
      </xdr:nvSpPr>
      <xdr:spPr>
        <a:xfrm>
          <a:off x="13500937543" y="33011087"/>
          <a:ext cx="294319" cy="42333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7</xdr:col>
      <xdr:colOff>240630</xdr:colOff>
      <xdr:row>162</xdr:row>
      <xdr:rowOff>120315</xdr:rowOff>
    </xdr:from>
    <xdr:to>
      <xdr:col>8</xdr:col>
      <xdr:colOff>1257480</xdr:colOff>
      <xdr:row>165</xdr:row>
      <xdr:rowOff>142597</xdr:rowOff>
    </xdr:to>
    <xdr:sp macro="" textlink="">
      <xdr:nvSpPr>
        <xdr:cNvPr id="57" name="Rectangle 56">
          <a:extLst>
            <a:ext uri="{FF2B5EF4-FFF2-40B4-BE49-F238E27FC236}">
              <a16:creationId xmlns:a16="http://schemas.microsoft.com/office/drawing/2014/main" id="{A39AADB4-C6FF-4CD9-13E3-D4572B76AB53}"/>
            </a:ext>
          </a:extLst>
        </xdr:cNvPr>
        <xdr:cNvSpPr/>
      </xdr:nvSpPr>
      <xdr:spPr>
        <a:xfrm>
          <a:off x="13499435186" y="33487894"/>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קרן ההון נטו לתום שנה כוללת את הקרן המקורית בשערוך, בניכוי ייחוס המס</a:t>
          </a:r>
          <a:endParaRPr lang="en-US" sz="1100"/>
        </a:p>
      </xdr:txBody>
    </xdr:sp>
    <xdr:clientData/>
  </xdr:twoCellAnchor>
  <xdr:twoCellAnchor>
    <xdr:from>
      <xdr:col>8</xdr:col>
      <xdr:colOff>1073927</xdr:colOff>
      <xdr:row>166</xdr:row>
      <xdr:rowOff>53473</xdr:rowOff>
    </xdr:from>
    <xdr:to>
      <xdr:col>9</xdr:col>
      <xdr:colOff>31193</xdr:colOff>
      <xdr:row>173</xdr:row>
      <xdr:rowOff>49016</xdr:rowOff>
    </xdr:to>
    <xdr:sp macro="" textlink="">
      <xdr:nvSpPr>
        <xdr:cNvPr id="58" name="Down Arrow 57">
          <a:extLst>
            <a:ext uri="{FF2B5EF4-FFF2-40B4-BE49-F238E27FC236}">
              <a16:creationId xmlns:a16="http://schemas.microsoft.com/office/drawing/2014/main" id="{723578F8-F499-4327-280D-40C86519581C}"/>
            </a:ext>
          </a:extLst>
        </xdr:cNvPr>
        <xdr:cNvSpPr/>
      </xdr:nvSpPr>
      <xdr:spPr>
        <a:xfrm>
          <a:off x="13499288982" y="34258806"/>
          <a:ext cx="329757" cy="14393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601577</xdr:colOff>
      <xdr:row>173</xdr:row>
      <xdr:rowOff>169332</xdr:rowOff>
    </xdr:from>
    <xdr:to>
      <xdr:col>10</xdr:col>
      <xdr:colOff>245936</xdr:colOff>
      <xdr:row>176</xdr:row>
      <xdr:rowOff>209439</xdr:rowOff>
    </xdr:to>
    <xdr:sp macro="" textlink="">
      <xdr:nvSpPr>
        <xdr:cNvPr id="59" name="Rectangle 58">
          <a:extLst>
            <a:ext uri="{FF2B5EF4-FFF2-40B4-BE49-F238E27FC236}">
              <a16:creationId xmlns:a16="http://schemas.microsoft.com/office/drawing/2014/main" id="{763A62D4-AA72-5374-3AC4-8DB4447EBEC7}"/>
            </a:ext>
          </a:extLst>
        </xdr:cNvPr>
        <xdr:cNvSpPr/>
      </xdr:nvSpPr>
      <xdr:spPr>
        <a:xfrm>
          <a:off x="13498249853" y="35818455"/>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בכל שנה עוקבת שבה הנכס עודנו בעל אורך חיים בלתי מוגדר - הוא לא מופחת</a:t>
          </a:r>
          <a:endParaRPr lang="en-US" sz="1100"/>
        </a:p>
      </xdr:txBody>
    </xdr:sp>
    <xdr:clientData/>
  </xdr:twoCellAnchor>
  <xdr:twoCellAnchor>
    <xdr:from>
      <xdr:col>8</xdr:col>
      <xdr:colOff>1082841</xdr:colOff>
      <xdr:row>177</xdr:row>
      <xdr:rowOff>115858</xdr:rowOff>
    </xdr:from>
    <xdr:to>
      <xdr:col>9</xdr:col>
      <xdr:colOff>80210</xdr:colOff>
      <xdr:row>192</xdr:row>
      <xdr:rowOff>84666</xdr:rowOff>
    </xdr:to>
    <xdr:sp macro="" textlink="">
      <xdr:nvSpPr>
        <xdr:cNvPr id="60" name="Down Arrow 59">
          <a:extLst>
            <a:ext uri="{FF2B5EF4-FFF2-40B4-BE49-F238E27FC236}">
              <a16:creationId xmlns:a16="http://schemas.microsoft.com/office/drawing/2014/main" id="{6C4A6BF5-35AF-9F78-A1AB-236889F3940A}"/>
            </a:ext>
          </a:extLst>
        </xdr:cNvPr>
        <xdr:cNvSpPr/>
      </xdr:nvSpPr>
      <xdr:spPr>
        <a:xfrm>
          <a:off x="13499239965" y="36593823"/>
          <a:ext cx="369860" cy="30435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450070</xdr:colOff>
      <xdr:row>192</xdr:row>
      <xdr:rowOff>138140</xdr:rowOff>
    </xdr:from>
    <xdr:to>
      <xdr:col>10</xdr:col>
      <xdr:colOff>94429</xdr:colOff>
      <xdr:row>195</xdr:row>
      <xdr:rowOff>178247</xdr:rowOff>
    </xdr:to>
    <xdr:sp macro="" textlink="">
      <xdr:nvSpPr>
        <xdr:cNvPr id="61" name="Rectangle 60">
          <a:extLst>
            <a:ext uri="{FF2B5EF4-FFF2-40B4-BE49-F238E27FC236}">
              <a16:creationId xmlns:a16="http://schemas.microsoft.com/office/drawing/2014/main" id="{6216CE68-5692-7A48-8813-602DA38BFC17}"/>
            </a:ext>
          </a:extLst>
        </xdr:cNvPr>
        <xdr:cNvSpPr/>
      </xdr:nvSpPr>
      <xdr:spPr>
        <a:xfrm>
          <a:off x="13498401360" y="39690842"/>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נשערך שוב (כי זה המודל)</a:t>
          </a:r>
          <a:endParaRPr lang="en-US" sz="1100"/>
        </a:p>
      </xdr:txBody>
    </xdr:sp>
    <xdr:clientData/>
  </xdr:twoCellAnchor>
  <xdr:twoCellAnchor>
    <xdr:from>
      <xdr:col>8</xdr:col>
      <xdr:colOff>1118491</xdr:colOff>
      <xdr:row>196</xdr:row>
      <xdr:rowOff>17824</xdr:rowOff>
    </xdr:from>
    <xdr:to>
      <xdr:col>9</xdr:col>
      <xdr:colOff>89123</xdr:colOff>
      <xdr:row>202</xdr:row>
      <xdr:rowOff>66842</xdr:rowOff>
    </xdr:to>
    <xdr:sp macro="" textlink="">
      <xdr:nvSpPr>
        <xdr:cNvPr id="62" name="Down Arrow 61">
          <a:extLst>
            <a:ext uri="{FF2B5EF4-FFF2-40B4-BE49-F238E27FC236}">
              <a16:creationId xmlns:a16="http://schemas.microsoft.com/office/drawing/2014/main" id="{E9F04F0D-F5BE-AA7D-D2C2-983797D79E7A}"/>
            </a:ext>
          </a:extLst>
        </xdr:cNvPr>
        <xdr:cNvSpPr/>
      </xdr:nvSpPr>
      <xdr:spPr>
        <a:xfrm>
          <a:off x="13499231052" y="40390456"/>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436701</xdr:colOff>
      <xdr:row>202</xdr:row>
      <xdr:rowOff>196070</xdr:rowOff>
    </xdr:from>
    <xdr:to>
      <xdr:col>10</xdr:col>
      <xdr:colOff>81060</xdr:colOff>
      <xdr:row>206</xdr:row>
      <xdr:rowOff>31194</xdr:rowOff>
    </xdr:to>
    <xdr:sp macro="" textlink="">
      <xdr:nvSpPr>
        <xdr:cNvPr id="63" name="Rectangle 62">
          <a:extLst>
            <a:ext uri="{FF2B5EF4-FFF2-40B4-BE49-F238E27FC236}">
              <a16:creationId xmlns:a16="http://schemas.microsoft.com/office/drawing/2014/main" id="{0E89062E-1B93-07BC-618E-A0071BB0F3D4}"/>
            </a:ext>
          </a:extLst>
        </xdr:cNvPr>
        <xdr:cNvSpPr/>
      </xdr:nvSpPr>
      <xdr:spPr>
        <a:xfrm>
          <a:off x="13498414729" y="41798596"/>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נבדוק סב״ה לירידת ערך בכל זאת כי עדיין אורך החיים בלתי מוגדר (ואין צורך)</a:t>
          </a:r>
          <a:endParaRPr lang="en-US" sz="1100"/>
        </a:p>
      </xdr:txBody>
    </xdr:sp>
    <xdr:clientData/>
  </xdr:twoCellAnchor>
  <xdr:twoCellAnchor>
    <xdr:from>
      <xdr:col>8</xdr:col>
      <xdr:colOff>1158596</xdr:colOff>
      <xdr:row>206</xdr:row>
      <xdr:rowOff>142597</xdr:rowOff>
    </xdr:from>
    <xdr:to>
      <xdr:col>9</xdr:col>
      <xdr:colOff>129228</xdr:colOff>
      <xdr:row>212</xdr:row>
      <xdr:rowOff>191614</xdr:rowOff>
    </xdr:to>
    <xdr:sp macro="" textlink="">
      <xdr:nvSpPr>
        <xdr:cNvPr id="64" name="Down Arrow 63">
          <a:extLst>
            <a:ext uri="{FF2B5EF4-FFF2-40B4-BE49-F238E27FC236}">
              <a16:creationId xmlns:a16="http://schemas.microsoft.com/office/drawing/2014/main" id="{AAD8027A-7B7E-F15A-AF43-EB4804DEECE2}"/>
            </a:ext>
          </a:extLst>
        </xdr:cNvPr>
        <xdr:cNvSpPr/>
      </xdr:nvSpPr>
      <xdr:spPr>
        <a:xfrm>
          <a:off x="13499190947" y="42565053"/>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441157</xdr:colOff>
      <xdr:row>213</xdr:row>
      <xdr:rowOff>98035</xdr:rowOff>
    </xdr:from>
    <xdr:to>
      <xdr:col>10</xdr:col>
      <xdr:colOff>85516</xdr:colOff>
      <xdr:row>216</xdr:row>
      <xdr:rowOff>138141</xdr:rowOff>
    </xdr:to>
    <xdr:sp macro="" textlink="">
      <xdr:nvSpPr>
        <xdr:cNvPr id="65" name="Rectangle 64">
          <a:extLst>
            <a:ext uri="{FF2B5EF4-FFF2-40B4-BE49-F238E27FC236}">
              <a16:creationId xmlns:a16="http://schemas.microsoft.com/office/drawing/2014/main" id="{C7D64225-7356-69E9-3896-DB4E1BA5BA15}"/>
            </a:ext>
          </a:extLst>
        </xdr:cNvPr>
        <xdr:cNvSpPr/>
      </xdr:nvSpPr>
      <xdr:spPr>
        <a:xfrm>
          <a:off x="13498410273" y="43955368"/>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סוגיית המס הנדחה</a:t>
          </a:r>
          <a:endParaRPr lang="en-US" sz="1100"/>
        </a:p>
      </xdr:txBody>
    </xdr:sp>
    <xdr:clientData/>
  </xdr:twoCellAnchor>
  <xdr:twoCellAnchor>
    <xdr:from>
      <xdr:col>8</xdr:col>
      <xdr:colOff>1158596</xdr:colOff>
      <xdr:row>216</xdr:row>
      <xdr:rowOff>187158</xdr:rowOff>
    </xdr:from>
    <xdr:to>
      <xdr:col>9</xdr:col>
      <xdr:colOff>129228</xdr:colOff>
      <xdr:row>223</xdr:row>
      <xdr:rowOff>31193</xdr:rowOff>
    </xdr:to>
    <xdr:sp macro="" textlink="">
      <xdr:nvSpPr>
        <xdr:cNvPr id="66" name="Down Arrow 65">
          <a:extLst>
            <a:ext uri="{FF2B5EF4-FFF2-40B4-BE49-F238E27FC236}">
              <a16:creationId xmlns:a16="http://schemas.microsoft.com/office/drawing/2014/main" id="{781D949B-2BEF-8AA0-FA13-E2994C98745D}"/>
            </a:ext>
          </a:extLst>
        </xdr:cNvPr>
        <xdr:cNvSpPr/>
      </xdr:nvSpPr>
      <xdr:spPr>
        <a:xfrm>
          <a:off x="13499190947" y="44659439"/>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405508</xdr:colOff>
      <xdr:row>223</xdr:row>
      <xdr:rowOff>84666</xdr:rowOff>
    </xdr:from>
    <xdr:to>
      <xdr:col>10</xdr:col>
      <xdr:colOff>49867</xdr:colOff>
      <xdr:row>226</xdr:row>
      <xdr:rowOff>124773</xdr:rowOff>
    </xdr:to>
    <xdr:sp macro="" textlink="">
      <xdr:nvSpPr>
        <xdr:cNvPr id="67" name="Rectangle 66">
          <a:extLst>
            <a:ext uri="{FF2B5EF4-FFF2-40B4-BE49-F238E27FC236}">
              <a16:creationId xmlns:a16="http://schemas.microsoft.com/office/drawing/2014/main" id="{EB313EAD-B5AE-47A8-9A7E-D7EDA6AAA9CD}"/>
            </a:ext>
          </a:extLst>
        </xdr:cNvPr>
        <xdr:cNvSpPr/>
      </xdr:nvSpPr>
      <xdr:spPr>
        <a:xfrm>
          <a:off x="13498445922" y="45991824"/>
          <a:ext cx="1841236" cy="65505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ערך ספרים</a:t>
          </a:r>
          <a:r>
            <a:rPr lang="he-IL" sz="1100" baseline="0"/>
            <a:t> משוערך עדכני</a:t>
          </a:r>
        </a:p>
        <a:p>
          <a:pPr algn="ctr" rtl="1"/>
          <a:r>
            <a:rPr lang="he-IL" sz="1100" baseline="0"/>
            <a:t>ערך לצורך מס</a:t>
          </a:r>
        </a:p>
        <a:p>
          <a:pPr algn="ctr" rtl="1"/>
          <a:r>
            <a:rPr lang="he-IL" sz="1100" baseline="0"/>
            <a:t>גם בשנה קודמת</a:t>
          </a:r>
          <a:endParaRPr lang="en-US" sz="1100"/>
        </a:p>
      </xdr:txBody>
    </xdr:sp>
    <xdr:clientData/>
  </xdr:twoCellAnchor>
  <xdr:twoCellAnchor>
    <xdr:from>
      <xdr:col>8</xdr:col>
      <xdr:colOff>1189789</xdr:colOff>
      <xdr:row>226</xdr:row>
      <xdr:rowOff>129228</xdr:rowOff>
    </xdr:from>
    <xdr:to>
      <xdr:col>9</xdr:col>
      <xdr:colOff>160421</xdr:colOff>
      <xdr:row>232</xdr:row>
      <xdr:rowOff>178245</xdr:rowOff>
    </xdr:to>
    <xdr:sp macro="" textlink="">
      <xdr:nvSpPr>
        <xdr:cNvPr id="68" name="Down Arrow 67">
          <a:extLst>
            <a:ext uri="{FF2B5EF4-FFF2-40B4-BE49-F238E27FC236}">
              <a16:creationId xmlns:a16="http://schemas.microsoft.com/office/drawing/2014/main" id="{E9EA02F4-0027-335A-BB66-C21AB6FC8C43}"/>
            </a:ext>
          </a:extLst>
        </xdr:cNvPr>
        <xdr:cNvSpPr/>
      </xdr:nvSpPr>
      <xdr:spPr>
        <a:xfrm>
          <a:off x="13499159754" y="46651333"/>
          <a:ext cx="343123" cy="127891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418876</xdr:colOff>
      <xdr:row>233</xdr:row>
      <xdr:rowOff>40105</xdr:rowOff>
    </xdr:from>
    <xdr:to>
      <xdr:col>10</xdr:col>
      <xdr:colOff>63235</xdr:colOff>
      <xdr:row>237</xdr:row>
      <xdr:rowOff>151509</xdr:rowOff>
    </xdr:to>
    <xdr:sp macro="" textlink="">
      <xdr:nvSpPr>
        <xdr:cNvPr id="69" name="Rectangle 68">
          <a:extLst>
            <a:ext uri="{FF2B5EF4-FFF2-40B4-BE49-F238E27FC236}">
              <a16:creationId xmlns:a16="http://schemas.microsoft.com/office/drawing/2014/main" id="{66BF8F5A-A5E5-DF26-F45D-77518CD33EB1}"/>
            </a:ext>
          </a:extLst>
        </xdr:cNvPr>
        <xdr:cNvSpPr/>
      </xdr:nvSpPr>
      <xdr:spPr>
        <a:xfrm>
          <a:off x="13498432554" y="47997087"/>
          <a:ext cx="1841236" cy="93133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הפער גדל, ההתחייבות למס נדחה גדלה - ואם כל</a:t>
          </a:r>
          <a:r>
            <a:rPr lang="he-IL" sz="1100" baseline="0"/>
            <a:t> הפער נובע מקרן הון, יש לקזז את ההתחייבות מהקרן ולא להכיר בהוצאה</a:t>
          </a:r>
          <a:endParaRPr lang="en-US" sz="1100"/>
        </a:p>
      </xdr:txBody>
    </xdr:sp>
    <xdr:clientData/>
  </xdr:twoCellAnchor>
  <xdr:twoCellAnchor>
    <xdr:from>
      <xdr:col>7</xdr:col>
      <xdr:colOff>378772</xdr:colOff>
      <xdr:row>241</xdr:row>
      <xdr:rowOff>29090</xdr:rowOff>
    </xdr:from>
    <xdr:to>
      <xdr:col>7</xdr:col>
      <xdr:colOff>480439</xdr:colOff>
      <xdr:row>245</xdr:row>
      <xdr:rowOff>22280</xdr:rowOff>
    </xdr:to>
    <xdr:sp macro="" textlink="">
      <xdr:nvSpPr>
        <xdr:cNvPr id="70" name="Down Arrow 69">
          <a:extLst>
            <a:ext uri="{FF2B5EF4-FFF2-40B4-BE49-F238E27FC236}">
              <a16:creationId xmlns:a16="http://schemas.microsoft.com/office/drawing/2014/main" id="{EB07E0F1-6199-609D-12D2-F51E4D77D518}"/>
            </a:ext>
          </a:extLst>
        </xdr:cNvPr>
        <xdr:cNvSpPr/>
      </xdr:nvSpPr>
      <xdr:spPr>
        <a:xfrm>
          <a:off x="13501036613" y="49643757"/>
          <a:ext cx="101667" cy="81311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1212069</xdr:colOff>
      <xdr:row>238</xdr:row>
      <xdr:rowOff>26736</xdr:rowOff>
    </xdr:from>
    <xdr:to>
      <xdr:col>9</xdr:col>
      <xdr:colOff>98034</xdr:colOff>
      <xdr:row>256</xdr:row>
      <xdr:rowOff>155965</xdr:rowOff>
    </xdr:to>
    <xdr:sp macro="" textlink="">
      <xdr:nvSpPr>
        <xdr:cNvPr id="71" name="Down Arrow 70">
          <a:extLst>
            <a:ext uri="{FF2B5EF4-FFF2-40B4-BE49-F238E27FC236}">
              <a16:creationId xmlns:a16="http://schemas.microsoft.com/office/drawing/2014/main" id="{5CCB3517-B16B-8FCA-D3B9-4F4C679D5AC5}"/>
            </a:ext>
          </a:extLst>
        </xdr:cNvPr>
        <xdr:cNvSpPr/>
      </xdr:nvSpPr>
      <xdr:spPr>
        <a:xfrm>
          <a:off x="13499222141" y="49017543"/>
          <a:ext cx="258456" cy="38456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329755</xdr:colOff>
      <xdr:row>257</xdr:row>
      <xdr:rowOff>4455</xdr:rowOff>
    </xdr:from>
    <xdr:to>
      <xdr:col>9</xdr:col>
      <xdr:colOff>798500</xdr:colOff>
      <xdr:row>263</xdr:row>
      <xdr:rowOff>138140</xdr:rowOff>
    </xdr:to>
    <xdr:sp macro="" textlink="">
      <xdr:nvSpPr>
        <xdr:cNvPr id="72" name="Rectangle 71">
          <a:extLst>
            <a:ext uri="{FF2B5EF4-FFF2-40B4-BE49-F238E27FC236}">
              <a16:creationId xmlns:a16="http://schemas.microsoft.com/office/drawing/2014/main" id="{BECFF8F2-B788-C240-8CA4-E5844FBA5D12}"/>
            </a:ext>
          </a:extLst>
        </xdr:cNvPr>
        <xdr:cNvSpPr/>
      </xdr:nvSpPr>
      <xdr:spPr>
        <a:xfrm>
          <a:off x="13498521675" y="52916666"/>
          <a:ext cx="1841236" cy="136357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במהלך שנה מסוימת</a:t>
          </a:r>
          <a:r>
            <a:rPr lang="he-IL" sz="1100" baseline="0"/>
            <a:t> אורך החיים הפך למוגדר (למשל, כתוצאה מהחלטה שלא לחדש זיכיון) החל מנקודת השינוי, עלינו לחשב הוצאות הפחתה</a:t>
          </a:r>
          <a:endParaRPr lang="en-US" sz="1100"/>
        </a:p>
      </xdr:txBody>
    </xdr:sp>
    <xdr:clientData/>
  </xdr:twoCellAnchor>
  <xdr:twoCellAnchor>
    <xdr:from>
      <xdr:col>8</xdr:col>
      <xdr:colOff>1198701</xdr:colOff>
      <xdr:row>263</xdr:row>
      <xdr:rowOff>147052</xdr:rowOff>
    </xdr:from>
    <xdr:to>
      <xdr:col>9</xdr:col>
      <xdr:colOff>89121</xdr:colOff>
      <xdr:row>269</xdr:row>
      <xdr:rowOff>142596</xdr:rowOff>
    </xdr:to>
    <xdr:sp macro="" textlink="">
      <xdr:nvSpPr>
        <xdr:cNvPr id="73" name="Down Arrow 72">
          <a:extLst>
            <a:ext uri="{FF2B5EF4-FFF2-40B4-BE49-F238E27FC236}">
              <a16:creationId xmlns:a16="http://schemas.microsoft.com/office/drawing/2014/main" id="{08699C6F-0D30-838D-A770-B181F1AFAF0F}"/>
            </a:ext>
          </a:extLst>
        </xdr:cNvPr>
        <xdr:cNvSpPr/>
      </xdr:nvSpPr>
      <xdr:spPr>
        <a:xfrm>
          <a:off x="13499231054" y="54289157"/>
          <a:ext cx="262911" cy="122543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374316</xdr:colOff>
      <xdr:row>269</xdr:row>
      <xdr:rowOff>160422</xdr:rowOff>
    </xdr:from>
    <xdr:to>
      <xdr:col>10</xdr:col>
      <xdr:colOff>18675</xdr:colOff>
      <xdr:row>273</xdr:row>
      <xdr:rowOff>22282</xdr:rowOff>
    </xdr:to>
    <xdr:sp macro="" textlink="">
      <xdr:nvSpPr>
        <xdr:cNvPr id="74" name="Rectangle 73">
          <a:extLst>
            <a:ext uri="{FF2B5EF4-FFF2-40B4-BE49-F238E27FC236}">
              <a16:creationId xmlns:a16="http://schemas.microsoft.com/office/drawing/2014/main" id="{A52981C8-31BF-0E0F-50B9-4834615C411C}"/>
            </a:ext>
          </a:extLst>
        </xdr:cNvPr>
        <xdr:cNvSpPr/>
      </xdr:nvSpPr>
      <xdr:spPr>
        <a:xfrm>
          <a:off x="13498477114" y="55532422"/>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אך בנוסף יש</a:t>
          </a:r>
          <a:r>
            <a:rPr lang="he-IL" sz="1100" baseline="0"/>
            <a:t> לראות בכך סממן פוטנציאלי לירידת ערך, ולבחון לאותה נקודת זמן את הסב״ה</a:t>
          </a:r>
          <a:endParaRPr lang="en-US" sz="1100"/>
        </a:p>
      </xdr:txBody>
    </xdr:sp>
    <xdr:clientData/>
  </xdr:twoCellAnchor>
  <xdr:twoCellAnchor>
    <xdr:from>
      <xdr:col>8</xdr:col>
      <xdr:colOff>1229895</xdr:colOff>
      <xdr:row>273</xdr:row>
      <xdr:rowOff>35647</xdr:rowOff>
    </xdr:from>
    <xdr:to>
      <xdr:col>9</xdr:col>
      <xdr:colOff>93577</xdr:colOff>
      <xdr:row>302</xdr:row>
      <xdr:rowOff>115859</xdr:rowOff>
    </xdr:to>
    <xdr:sp macro="" textlink="">
      <xdr:nvSpPr>
        <xdr:cNvPr id="75" name="Down Arrow 74">
          <a:extLst>
            <a:ext uri="{FF2B5EF4-FFF2-40B4-BE49-F238E27FC236}">
              <a16:creationId xmlns:a16="http://schemas.microsoft.com/office/drawing/2014/main" id="{24593A29-7772-DEA5-24F1-1324E4849050}"/>
            </a:ext>
          </a:extLst>
        </xdr:cNvPr>
        <xdr:cNvSpPr/>
      </xdr:nvSpPr>
      <xdr:spPr>
        <a:xfrm>
          <a:off x="13499226598" y="56236489"/>
          <a:ext cx="236173" cy="606926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432246</xdr:colOff>
      <xdr:row>302</xdr:row>
      <xdr:rowOff>160420</xdr:rowOff>
    </xdr:from>
    <xdr:to>
      <xdr:col>10</xdr:col>
      <xdr:colOff>76605</xdr:colOff>
      <xdr:row>306</xdr:row>
      <xdr:rowOff>31192</xdr:rowOff>
    </xdr:to>
    <xdr:sp macro="" textlink="">
      <xdr:nvSpPr>
        <xdr:cNvPr id="76" name="Rectangle 75">
          <a:extLst>
            <a:ext uri="{FF2B5EF4-FFF2-40B4-BE49-F238E27FC236}">
              <a16:creationId xmlns:a16="http://schemas.microsoft.com/office/drawing/2014/main" id="{0140B89B-11BA-144B-A7AA-E61310603E93}"/>
            </a:ext>
          </a:extLst>
        </xdr:cNvPr>
        <xdr:cNvSpPr/>
      </xdr:nvSpPr>
      <xdr:spPr>
        <a:xfrm>
          <a:off x="13498419184" y="62350315"/>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חוץ מהפחתה על פני השנה, יש להפחית את קרן ההערכה ברוטו לעודפים בקצב הפחת</a:t>
          </a:r>
          <a:endParaRPr lang="en-US" sz="1100"/>
        </a:p>
      </xdr:txBody>
    </xdr:sp>
    <xdr:clientData/>
  </xdr:twoCellAnchor>
  <xdr:twoCellAnchor>
    <xdr:from>
      <xdr:col>8</xdr:col>
      <xdr:colOff>1216525</xdr:colOff>
      <xdr:row>306</xdr:row>
      <xdr:rowOff>71298</xdr:rowOff>
    </xdr:from>
    <xdr:to>
      <xdr:col>9</xdr:col>
      <xdr:colOff>93576</xdr:colOff>
      <xdr:row>332</xdr:row>
      <xdr:rowOff>17825</xdr:rowOff>
    </xdr:to>
    <xdr:sp macro="" textlink="">
      <xdr:nvSpPr>
        <xdr:cNvPr id="77" name="Down Arrow 76">
          <a:extLst>
            <a:ext uri="{FF2B5EF4-FFF2-40B4-BE49-F238E27FC236}">
              <a16:creationId xmlns:a16="http://schemas.microsoft.com/office/drawing/2014/main" id="{2F7BD452-415A-C575-4EF4-D31C177AAD34}"/>
            </a:ext>
          </a:extLst>
        </xdr:cNvPr>
        <xdr:cNvSpPr/>
      </xdr:nvSpPr>
      <xdr:spPr>
        <a:xfrm>
          <a:off x="13499226599" y="63081123"/>
          <a:ext cx="249542" cy="529389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307475</xdr:colOff>
      <xdr:row>332</xdr:row>
      <xdr:rowOff>62387</xdr:rowOff>
    </xdr:from>
    <xdr:to>
      <xdr:col>9</xdr:col>
      <xdr:colOff>776220</xdr:colOff>
      <xdr:row>335</xdr:row>
      <xdr:rowOff>129229</xdr:rowOff>
    </xdr:to>
    <xdr:sp macro="" textlink="">
      <xdr:nvSpPr>
        <xdr:cNvPr id="78" name="Rectangle 77">
          <a:extLst>
            <a:ext uri="{FF2B5EF4-FFF2-40B4-BE49-F238E27FC236}">
              <a16:creationId xmlns:a16="http://schemas.microsoft.com/office/drawing/2014/main" id="{D7C8DFE1-1FA0-B545-B763-AF8AC18BEF8B}"/>
            </a:ext>
          </a:extLst>
        </xdr:cNvPr>
        <xdr:cNvSpPr/>
      </xdr:nvSpPr>
      <xdr:spPr>
        <a:xfrm>
          <a:off x="13498543955" y="68419580"/>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בדקתי רוו״ה מע״ע / י״ע</a:t>
          </a:r>
          <a:endParaRPr lang="en-US" sz="1100"/>
        </a:p>
      </xdr:txBody>
    </xdr:sp>
    <xdr:clientData/>
  </xdr:twoCellAnchor>
  <xdr:twoCellAnchor>
    <xdr:from>
      <xdr:col>8</xdr:col>
      <xdr:colOff>1171964</xdr:colOff>
      <xdr:row>335</xdr:row>
      <xdr:rowOff>173789</xdr:rowOff>
    </xdr:from>
    <xdr:to>
      <xdr:col>9</xdr:col>
      <xdr:colOff>35646</xdr:colOff>
      <xdr:row>340</xdr:row>
      <xdr:rowOff>138140</xdr:rowOff>
    </xdr:to>
    <xdr:sp macro="" textlink="">
      <xdr:nvSpPr>
        <xdr:cNvPr id="79" name="Down Arrow 78">
          <a:extLst>
            <a:ext uri="{FF2B5EF4-FFF2-40B4-BE49-F238E27FC236}">
              <a16:creationId xmlns:a16="http://schemas.microsoft.com/office/drawing/2014/main" id="{95C01627-6413-133A-4DA7-9C7AE8C4247E}"/>
            </a:ext>
          </a:extLst>
        </xdr:cNvPr>
        <xdr:cNvSpPr/>
      </xdr:nvSpPr>
      <xdr:spPr>
        <a:xfrm>
          <a:off x="13499284529" y="69154842"/>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276282</xdr:colOff>
      <xdr:row>340</xdr:row>
      <xdr:rowOff>187159</xdr:rowOff>
    </xdr:from>
    <xdr:to>
      <xdr:col>9</xdr:col>
      <xdr:colOff>745027</xdr:colOff>
      <xdr:row>344</xdr:row>
      <xdr:rowOff>57931</xdr:rowOff>
    </xdr:to>
    <xdr:sp macro="" textlink="">
      <xdr:nvSpPr>
        <xdr:cNvPr id="80" name="Rectangle 79">
          <a:extLst>
            <a:ext uri="{FF2B5EF4-FFF2-40B4-BE49-F238E27FC236}">
              <a16:creationId xmlns:a16="http://schemas.microsoft.com/office/drawing/2014/main" id="{18453E25-2164-E8C8-5F0F-B73D3A3FEA56}"/>
            </a:ext>
          </a:extLst>
        </xdr:cNvPr>
        <xdr:cNvSpPr/>
      </xdr:nvSpPr>
      <xdr:spPr>
        <a:xfrm>
          <a:off x="13498575148" y="70202036"/>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ירידת הערך המירבית שהקרן יכולה לספוג היא לפי יתרת הקרן ברוטו (לפני מס)</a:t>
          </a:r>
          <a:endParaRPr lang="en-US" sz="1100"/>
        </a:p>
      </xdr:txBody>
    </xdr:sp>
    <xdr:clientData/>
  </xdr:twoCellAnchor>
  <xdr:twoCellAnchor>
    <xdr:from>
      <xdr:col>8</xdr:col>
      <xdr:colOff>1109579</xdr:colOff>
      <xdr:row>344</xdr:row>
      <xdr:rowOff>93578</xdr:rowOff>
    </xdr:from>
    <xdr:to>
      <xdr:col>8</xdr:col>
      <xdr:colOff>1345752</xdr:colOff>
      <xdr:row>349</xdr:row>
      <xdr:rowOff>66841</xdr:rowOff>
    </xdr:to>
    <xdr:sp macro="" textlink="">
      <xdr:nvSpPr>
        <xdr:cNvPr id="81" name="Down Arrow 80">
          <a:extLst>
            <a:ext uri="{FF2B5EF4-FFF2-40B4-BE49-F238E27FC236}">
              <a16:creationId xmlns:a16="http://schemas.microsoft.com/office/drawing/2014/main" id="{6B974D2F-9ACF-7646-7E49-3741962BB275}"/>
            </a:ext>
          </a:extLst>
        </xdr:cNvPr>
        <xdr:cNvSpPr/>
      </xdr:nvSpPr>
      <xdr:spPr>
        <a:xfrm>
          <a:off x="13499346914" y="70928385"/>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258458</xdr:colOff>
      <xdr:row>349</xdr:row>
      <xdr:rowOff>160422</xdr:rowOff>
    </xdr:from>
    <xdr:to>
      <xdr:col>9</xdr:col>
      <xdr:colOff>727203</xdr:colOff>
      <xdr:row>353</xdr:row>
      <xdr:rowOff>31194</xdr:rowOff>
    </xdr:to>
    <xdr:sp macro="" textlink="">
      <xdr:nvSpPr>
        <xdr:cNvPr id="82" name="Rectangle 81">
          <a:extLst>
            <a:ext uri="{FF2B5EF4-FFF2-40B4-BE49-F238E27FC236}">
              <a16:creationId xmlns:a16="http://schemas.microsoft.com/office/drawing/2014/main" id="{586CE184-CF1D-AC0B-8E06-E7C5BB8CD26D}"/>
            </a:ext>
          </a:extLst>
        </xdr:cNvPr>
        <xdr:cNvSpPr/>
      </xdr:nvSpPr>
      <xdr:spPr>
        <a:xfrm>
          <a:off x="13498592972" y="72020141"/>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החל מהשנה הבאה הפסקת מסחר: עוד סממן לירידת ערך בתום השנה</a:t>
          </a:r>
          <a:endParaRPr lang="en-US" sz="1100"/>
        </a:p>
      </xdr:txBody>
    </xdr:sp>
    <xdr:clientData/>
  </xdr:twoCellAnchor>
  <xdr:twoCellAnchor>
    <xdr:from>
      <xdr:col>8</xdr:col>
      <xdr:colOff>1082842</xdr:colOff>
      <xdr:row>353</xdr:row>
      <xdr:rowOff>102491</xdr:rowOff>
    </xdr:from>
    <xdr:to>
      <xdr:col>8</xdr:col>
      <xdr:colOff>1319015</xdr:colOff>
      <xdr:row>358</xdr:row>
      <xdr:rowOff>57929</xdr:rowOff>
    </xdr:to>
    <xdr:sp macro="" textlink="">
      <xdr:nvSpPr>
        <xdr:cNvPr id="83" name="Down Arrow 82">
          <a:extLst>
            <a:ext uri="{FF2B5EF4-FFF2-40B4-BE49-F238E27FC236}">
              <a16:creationId xmlns:a16="http://schemas.microsoft.com/office/drawing/2014/main" id="{A2DC83BE-2045-D130-D195-23C2285BFD7F}"/>
            </a:ext>
          </a:extLst>
        </xdr:cNvPr>
        <xdr:cNvSpPr/>
      </xdr:nvSpPr>
      <xdr:spPr>
        <a:xfrm>
          <a:off x="13499373651" y="72782140"/>
          <a:ext cx="236173" cy="9981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245090</xdr:colOff>
      <xdr:row>358</xdr:row>
      <xdr:rowOff>66843</xdr:rowOff>
    </xdr:from>
    <xdr:to>
      <xdr:col>9</xdr:col>
      <xdr:colOff>713835</xdr:colOff>
      <xdr:row>361</xdr:row>
      <xdr:rowOff>142598</xdr:rowOff>
    </xdr:to>
    <xdr:sp macro="" textlink="">
      <xdr:nvSpPr>
        <xdr:cNvPr id="84" name="Rectangle 83">
          <a:extLst>
            <a:ext uri="{FF2B5EF4-FFF2-40B4-BE49-F238E27FC236}">
              <a16:creationId xmlns:a16="http://schemas.microsoft.com/office/drawing/2014/main" id="{A65D25A0-D69F-AC80-1A8D-B84E9B3D61D7}"/>
            </a:ext>
          </a:extLst>
        </xdr:cNvPr>
        <xdr:cNvSpPr/>
      </xdr:nvSpPr>
      <xdr:spPr>
        <a:xfrm>
          <a:off x="13498606340" y="73789229"/>
          <a:ext cx="1841236" cy="6907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ירידה נוספת לאחר</a:t>
          </a:r>
          <a:r>
            <a:rPr lang="he-IL" sz="1100" baseline="0"/>
            <a:t> בדיקת סב״ה</a:t>
          </a:r>
          <a:endParaRPr lang="en-US" sz="1100"/>
        </a:p>
      </xdr:txBody>
    </xdr:sp>
    <xdr:clientData/>
  </xdr:twoCellAnchor>
  <xdr:twoCellAnchor>
    <xdr:from>
      <xdr:col>8</xdr:col>
      <xdr:colOff>1064296</xdr:colOff>
      <xdr:row>362</xdr:row>
      <xdr:rowOff>30942</xdr:rowOff>
    </xdr:from>
    <xdr:to>
      <xdr:col>8</xdr:col>
      <xdr:colOff>1341374</xdr:colOff>
      <xdr:row>379</xdr:row>
      <xdr:rowOff>71550</xdr:rowOff>
    </xdr:to>
    <xdr:sp macro="" textlink="">
      <xdr:nvSpPr>
        <xdr:cNvPr id="85" name="Down Arrow 84">
          <a:extLst>
            <a:ext uri="{FF2B5EF4-FFF2-40B4-BE49-F238E27FC236}">
              <a16:creationId xmlns:a16="http://schemas.microsoft.com/office/drawing/2014/main" id="{DCF32413-F6CD-543F-66E8-13E9E9DDCDC8}"/>
            </a:ext>
          </a:extLst>
        </xdr:cNvPr>
        <xdr:cNvSpPr/>
      </xdr:nvSpPr>
      <xdr:spPr>
        <a:xfrm>
          <a:off x="13546884471" y="73328724"/>
          <a:ext cx="277078" cy="348838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429296</xdr:colOff>
      <xdr:row>379</xdr:row>
      <xdr:rowOff>134154</xdr:rowOff>
    </xdr:from>
    <xdr:to>
      <xdr:col>10</xdr:col>
      <xdr:colOff>70752</xdr:colOff>
      <xdr:row>384</xdr:row>
      <xdr:rowOff>102851</xdr:rowOff>
    </xdr:to>
    <xdr:sp macro="" textlink="">
      <xdr:nvSpPr>
        <xdr:cNvPr id="86" name="Rectangle 85">
          <a:extLst>
            <a:ext uri="{FF2B5EF4-FFF2-40B4-BE49-F238E27FC236}">
              <a16:creationId xmlns:a16="http://schemas.microsoft.com/office/drawing/2014/main" id="{C0FD9A47-9F6E-2B4C-B3CA-692B29CD2A5C}"/>
            </a:ext>
          </a:extLst>
        </xdr:cNvPr>
        <xdr:cNvSpPr/>
      </xdr:nvSpPr>
      <xdr:spPr>
        <a:xfrm>
          <a:off x="13545954952" y="76879717"/>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כדי לבדוק איזה</a:t>
          </a:r>
          <a:r>
            <a:rPr lang="he-IL" sz="1100" baseline="0"/>
            <a:t> חלק מירידת הערך נזקף לקרן ואיזה לרווח והפסד חייבים לנתח את התנועות בקרן ברוטו</a:t>
          </a:r>
          <a:endParaRPr lang="en-US" sz="1100"/>
        </a:p>
      </xdr:txBody>
    </xdr:sp>
    <xdr:clientData/>
  </xdr:twoCellAnchor>
  <xdr:twoCellAnchor>
    <xdr:from>
      <xdr:col>8</xdr:col>
      <xdr:colOff>195627</xdr:colOff>
      <xdr:row>381</xdr:row>
      <xdr:rowOff>151567</xdr:rowOff>
    </xdr:from>
    <xdr:to>
      <xdr:col>8</xdr:col>
      <xdr:colOff>428758</xdr:colOff>
      <xdr:row>382</xdr:row>
      <xdr:rowOff>153534</xdr:rowOff>
    </xdr:to>
    <xdr:sp macro="" textlink="">
      <xdr:nvSpPr>
        <xdr:cNvPr id="87" name="Down Arrow 86">
          <a:extLst>
            <a:ext uri="{FF2B5EF4-FFF2-40B4-BE49-F238E27FC236}">
              <a16:creationId xmlns:a16="http://schemas.microsoft.com/office/drawing/2014/main" id="{B4FFD80C-CAFE-EB95-F712-79192EAAC06F}"/>
            </a:ext>
          </a:extLst>
        </xdr:cNvPr>
        <xdr:cNvSpPr/>
      </xdr:nvSpPr>
      <xdr:spPr>
        <a:xfrm rot="16200000">
          <a:off x="13547812053" y="77284629"/>
          <a:ext cx="203200" cy="23313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1135845</xdr:colOff>
      <xdr:row>384</xdr:row>
      <xdr:rowOff>109769</xdr:rowOff>
    </xdr:from>
    <xdr:to>
      <xdr:col>9</xdr:col>
      <xdr:colOff>33685</xdr:colOff>
      <xdr:row>391</xdr:row>
      <xdr:rowOff>107324</xdr:rowOff>
    </xdr:to>
    <xdr:sp macro="" textlink="">
      <xdr:nvSpPr>
        <xdr:cNvPr id="88" name="Down Arrow 87">
          <a:extLst>
            <a:ext uri="{FF2B5EF4-FFF2-40B4-BE49-F238E27FC236}">
              <a16:creationId xmlns:a16="http://schemas.microsoft.com/office/drawing/2014/main" id="{DE391E19-4197-82AD-1B1E-6BF06A706D99}"/>
            </a:ext>
          </a:extLst>
        </xdr:cNvPr>
        <xdr:cNvSpPr/>
      </xdr:nvSpPr>
      <xdr:spPr>
        <a:xfrm>
          <a:off x="13546819308" y="77874910"/>
          <a:ext cx="270692" cy="141959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429296</xdr:colOff>
      <xdr:row>391</xdr:row>
      <xdr:rowOff>129682</xdr:rowOff>
    </xdr:from>
    <xdr:to>
      <xdr:col>10</xdr:col>
      <xdr:colOff>70752</xdr:colOff>
      <xdr:row>396</xdr:row>
      <xdr:rowOff>111795</xdr:rowOff>
    </xdr:to>
    <xdr:sp macro="" textlink="">
      <xdr:nvSpPr>
        <xdr:cNvPr id="89" name="Rectangle 88">
          <a:extLst>
            <a:ext uri="{FF2B5EF4-FFF2-40B4-BE49-F238E27FC236}">
              <a16:creationId xmlns:a16="http://schemas.microsoft.com/office/drawing/2014/main" id="{9E1BFB30-A813-9BF3-01A5-0D634ABF0D5C}"/>
            </a:ext>
          </a:extLst>
        </xdr:cNvPr>
        <xdr:cNvSpPr/>
      </xdr:nvSpPr>
      <xdr:spPr>
        <a:xfrm>
          <a:off x="13545954952" y="79316865"/>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ערך הנכס בספרים יורד אל מתחת לערכו לצורך מס ייווצר נכס מס נדחה שמשקף</a:t>
          </a:r>
          <a:r>
            <a:rPr lang="he-IL" sz="1100" baseline="0"/>
            <a:t> את הטבת המס הצפויה כשהנכס ימומש</a:t>
          </a:r>
          <a:endParaRPr lang="en-US" sz="1100"/>
        </a:p>
      </xdr:txBody>
    </xdr:sp>
    <xdr:clientData/>
  </xdr:twoCellAnchor>
  <xdr:twoCellAnchor>
    <xdr:from>
      <xdr:col>8</xdr:col>
      <xdr:colOff>1153732</xdr:colOff>
      <xdr:row>396</xdr:row>
      <xdr:rowOff>109769</xdr:rowOff>
    </xdr:from>
    <xdr:to>
      <xdr:col>9</xdr:col>
      <xdr:colOff>69460</xdr:colOff>
      <xdr:row>406</xdr:row>
      <xdr:rowOff>8944</xdr:rowOff>
    </xdr:to>
    <xdr:sp macro="" textlink="">
      <xdr:nvSpPr>
        <xdr:cNvPr id="90" name="Down Arrow 89">
          <a:extLst>
            <a:ext uri="{FF2B5EF4-FFF2-40B4-BE49-F238E27FC236}">
              <a16:creationId xmlns:a16="http://schemas.microsoft.com/office/drawing/2014/main" id="{4A34E7BB-0112-7662-A804-5E330857963B}"/>
            </a:ext>
          </a:extLst>
        </xdr:cNvPr>
        <xdr:cNvSpPr/>
      </xdr:nvSpPr>
      <xdr:spPr>
        <a:xfrm>
          <a:off x="13546783533" y="80303114"/>
          <a:ext cx="288580" cy="1911499"/>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474014</xdr:colOff>
      <xdr:row>406</xdr:row>
      <xdr:rowOff>89436</xdr:rowOff>
    </xdr:from>
    <xdr:to>
      <xdr:col>10</xdr:col>
      <xdr:colOff>115470</xdr:colOff>
      <xdr:row>411</xdr:row>
      <xdr:rowOff>44718</xdr:rowOff>
    </xdr:to>
    <xdr:sp macro="" textlink="">
      <xdr:nvSpPr>
        <xdr:cNvPr id="92" name="Rectangle 91">
          <a:extLst>
            <a:ext uri="{FF2B5EF4-FFF2-40B4-BE49-F238E27FC236}">
              <a16:creationId xmlns:a16="http://schemas.microsoft.com/office/drawing/2014/main" id="{BF0843FF-675D-DF5B-B6B5-66EFBD28D905}"/>
            </a:ext>
          </a:extLst>
        </xdr:cNvPr>
        <xdr:cNvSpPr/>
      </xdr:nvSpPr>
      <xdr:spPr>
        <a:xfrm>
          <a:off x="13545910234" y="82295105"/>
          <a:ext cx="1841597" cy="9882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אם השינוי בהפרש ביני ובין רשות המסים נובע גם משינוי קרן וגם מרווח והפסד, צריך לפצל גם ההתייחסות</a:t>
          </a:r>
          <a:r>
            <a:rPr lang="he-IL" sz="1100" baseline="0"/>
            <a:t> למס נדחה בהתאם</a:t>
          </a:r>
          <a:endParaRPr lang="en-US" sz="1100"/>
        </a:p>
      </xdr:txBody>
    </xdr:sp>
    <xdr:clientData/>
  </xdr:twoCellAnchor>
  <xdr:twoCellAnchor>
    <xdr:from>
      <xdr:col>6</xdr:col>
      <xdr:colOff>809398</xdr:colOff>
      <xdr:row>408</xdr:row>
      <xdr:rowOff>58166</xdr:rowOff>
    </xdr:from>
    <xdr:to>
      <xdr:col>8</xdr:col>
      <xdr:colOff>478452</xdr:colOff>
      <xdr:row>409</xdr:row>
      <xdr:rowOff>145514</xdr:rowOff>
    </xdr:to>
    <xdr:sp macro="" textlink="">
      <xdr:nvSpPr>
        <xdr:cNvPr id="93" name="Down Arrow 92">
          <a:extLst>
            <a:ext uri="{FF2B5EF4-FFF2-40B4-BE49-F238E27FC236}">
              <a16:creationId xmlns:a16="http://schemas.microsoft.com/office/drawing/2014/main" id="{A5C8366E-D668-99C5-9028-561B02CD79A1}"/>
            </a:ext>
          </a:extLst>
        </xdr:cNvPr>
        <xdr:cNvSpPr/>
      </xdr:nvSpPr>
      <xdr:spPr>
        <a:xfrm rot="16200000">
          <a:off x="13548264919" y="82148774"/>
          <a:ext cx="288580" cy="1323632"/>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1215199</xdr:colOff>
      <xdr:row>411</xdr:row>
      <xdr:rowOff>57875</xdr:rowOff>
    </xdr:from>
    <xdr:to>
      <xdr:col>9</xdr:col>
      <xdr:colOff>135038</xdr:colOff>
      <xdr:row>417</xdr:row>
      <xdr:rowOff>145806</xdr:rowOff>
    </xdr:to>
    <xdr:sp macro="" textlink="">
      <xdr:nvSpPr>
        <xdr:cNvPr id="94" name="Down Arrow 93">
          <a:extLst>
            <a:ext uri="{FF2B5EF4-FFF2-40B4-BE49-F238E27FC236}">
              <a16:creationId xmlns:a16="http://schemas.microsoft.com/office/drawing/2014/main" id="{E3E7ECC2-40C5-59EC-37D6-40B4C3899AE3}"/>
            </a:ext>
          </a:extLst>
        </xdr:cNvPr>
        <xdr:cNvSpPr/>
      </xdr:nvSpPr>
      <xdr:spPr>
        <a:xfrm>
          <a:off x="13499185137" y="84697805"/>
          <a:ext cx="292330" cy="131782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447277</xdr:colOff>
      <xdr:row>417</xdr:row>
      <xdr:rowOff>156278</xdr:rowOff>
    </xdr:from>
    <xdr:to>
      <xdr:col>10</xdr:col>
      <xdr:colOff>88733</xdr:colOff>
      <xdr:row>422</xdr:row>
      <xdr:rowOff>129385</xdr:rowOff>
    </xdr:to>
    <xdr:sp macro="" textlink="">
      <xdr:nvSpPr>
        <xdr:cNvPr id="95" name="Rectangle 94">
          <a:extLst>
            <a:ext uri="{FF2B5EF4-FFF2-40B4-BE49-F238E27FC236}">
              <a16:creationId xmlns:a16="http://schemas.microsoft.com/office/drawing/2014/main" id="{80B9ED18-9622-4C93-77AD-EC5AE9B26BCC}"/>
            </a:ext>
          </a:extLst>
        </xdr:cNvPr>
        <xdr:cNvSpPr/>
      </xdr:nvSpPr>
      <xdr:spPr>
        <a:xfrm>
          <a:off x="13498407056" y="86026103"/>
          <a:ext cx="1838333" cy="9980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כל ירידה בקרן שנבעה משערוך - שיוך המס בגינה הוא כנגד הקרן, ולא כנגד רווח והפסד</a:t>
          </a:r>
          <a:endParaRPr lang="en-US" sz="1100"/>
        </a:p>
      </xdr:txBody>
    </xdr:sp>
    <xdr:clientData/>
  </xdr:twoCellAnchor>
  <xdr:twoCellAnchor>
    <xdr:from>
      <xdr:col>8</xdr:col>
      <xdr:colOff>440518</xdr:colOff>
      <xdr:row>422</xdr:row>
      <xdr:rowOff>152675</xdr:rowOff>
    </xdr:from>
    <xdr:to>
      <xdr:col>10</xdr:col>
      <xdr:colOff>88093</xdr:colOff>
      <xdr:row>427</xdr:row>
      <xdr:rowOff>125782</xdr:rowOff>
    </xdr:to>
    <xdr:sp macro="" textlink="">
      <xdr:nvSpPr>
        <xdr:cNvPr id="96" name="Rectangle 95">
          <a:extLst>
            <a:ext uri="{FF2B5EF4-FFF2-40B4-BE49-F238E27FC236}">
              <a16:creationId xmlns:a16="http://schemas.microsoft.com/office/drawing/2014/main" id="{F77AEA51-C08E-F02C-E23E-E0F23D4DDF18}"/>
            </a:ext>
          </a:extLst>
        </xdr:cNvPr>
        <xdr:cNvSpPr/>
      </xdr:nvSpPr>
      <xdr:spPr>
        <a:xfrm>
          <a:off x="13531939333" y="87255065"/>
          <a:ext cx="1846729" cy="100031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כל ירידה נוספת בנכס, שנזקפה לרווח והפסד שיוך המס בגינה הוא ברווח</a:t>
          </a:r>
          <a:r>
            <a:rPr lang="he-IL" sz="1100" baseline="0"/>
            <a:t> והפסד</a:t>
          </a:r>
          <a:endParaRPr lang="en-US" sz="1100"/>
        </a:p>
      </xdr:txBody>
    </xdr:sp>
    <xdr:clientData/>
  </xdr:twoCellAnchor>
  <xdr:twoCellAnchor>
    <xdr:from>
      <xdr:col>8</xdr:col>
      <xdr:colOff>806562</xdr:colOff>
      <xdr:row>444</xdr:row>
      <xdr:rowOff>80210</xdr:rowOff>
    </xdr:from>
    <xdr:to>
      <xdr:col>8</xdr:col>
      <xdr:colOff>824386</xdr:colOff>
      <xdr:row>446</xdr:row>
      <xdr:rowOff>124771</xdr:rowOff>
    </xdr:to>
    <xdr:cxnSp macro="">
      <xdr:nvCxnSpPr>
        <xdr:cNvPr id="98" name="Straight Arrow Connector 97">
          <a:extLst>
            <a:ext uri="{FF2B5EF4-FFF2-40B4-BE49-F238E27FC236}">
              <a16:creationId xmlns:a16="http://schemas.microsoft.com/office/drawing/2014/main" id="{B156AB84-03EF-993C-4744-522A5944D8CC}"/>
            </a:ext>
          </a:extLst>
        </xdr:cNvPr>
        <xdr:cNvCxnSpPr/>
      </xdr:nvCxnSpPr>
      <xdr:spPr>
        <a:xfrm flipH="1">
          <a:off x="13499868280" y="91074596"/>
          <a:ext cx="17824" cy="454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271825</xdr:colOff>
      <xdr:row>443</xdr:row>
      <xdr:rowOff>193841</xdr:rowOff>
    </xdr:from>
    <xdr:to>
      <xdr:col>8</xdr:col>
      <xdr:colOff>1339070</xdr:colOff>
      <xdr:row>444</xdr:row>
      <xdr:rowOff>80210</xdr:rowOff>
    </xdr:to>
    <xdr:sp macro="" textlink="">
      <xdr:nvSpPr>
        <xdr:cNvPr id="99" name="Left Brace 98">
          <a:extLst>
            <a:ext uri="{FF2B5EF4-FFF2-40B4-BE49-F238E27FC236}">
              <a16:creationId xmlns:a16="http://schemas.microsoft.com/office/drawing/2014/main" id="{E1C302D1-ADE7-0302-705B-76910769C138}"/>
            </a:ext>
          </a:extLst>
        </xdr:cNvPr>
        <xdr:cNvSpPr/>
      </xdr:nvSpPr>
      <xdr:spPr>
        <a:xfrm rot="16200000">
          <a:off x="13499841543" y="90495298"/>
          <a:ext cx="91351" cy="106724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8</xdr:col>
      <xdr:colOff>62385</xdr:colOff>
      <xdr:row>442</xdr:row>
      <xdr:rowOff>8912</xdr:rowOff>
    </xdr:from>
    <xdr:to>
      <xdr:col>8</xdr:col>
      <xdr:colOff>66841</xdr:colOff>
      <xdr:row>443</xdr:row>
      <xdr:rowOff>35649</xdr:rowOff>
    </xdr:to>
    <xdr:cxnSp macro="">
      <xdr:nvCxnSpPr>
        <xdr:cNvPr id="100" name="Straight Arrow Connector 99">
          <a:extLst>
            <a:ext uri="{FF2B5EF4-FFF2-40B4-BE49-F238E27FC236}">
              <a16:creationId xmlns:a16="http://schemas.microsoft.com/office/drawing/2014/main" id="{68833044-70AC-AC3D-B172-EAAD4D19FF90}"/>
            </a:ext>
          </a:extLst>
        </xdr:cNvPr>
        <xdr:cNvCxnSpPr/>
      </xdr:nvCxnSpPr>
      <xdr:spPr>
        <a:xfrm flipV="1">
          <a:off x="13500625825" y="90593333"/>
          <a:ext cx="4456" cy="231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138140</xdr:colOff>
      <xdr:row>437</xdr:row>
      <xdr:rowOff>26736</xdr:rowOff>
    </xdr:from>
    <xdr:to>
      <xdr:col>9</xdr:col>
      <xdr:colOff>142596</xdr:colOff>
      <xdr:row>438</xdr:row>
      <xdr:rowOff>53473</xdr:rowOff>
    </xdr:to>
    <xdr:cxnSp macro="">
      <xdr:nvCxnSpPr>
        <xdr:cNvPr id="104" name="Straight Arrow Connector 103">
          <a:extLst>
            <a:ext uri="{FF2B5EF4-FFF2-40B4-BE49-F238E27FC236}">
              <a16:creationId xmlns:a16="http://schemas.microsoft.com/office/drawing/2014/main" id="{B876ECE5-0216-1990-C026-63FBCD0AC1FE}"/>
            </a:ext>
          </a:extLst>
        </xdr:cNvPr>
        <xdr:cNvCxnSpPr/>
      </xdr:nvCxnSpPr>
      <xdr:spPr>
        <a:xfrm flipV="1">
          <a:off x="13499177579" y="89996210"/>
          <a:ext cx="4456" cy="2317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695158</xdr:colOff>
      <xdr:row>436</xdr:row>
      <xdr:rowOff>200526</xdr:rowOff>
    </xdr:from>
    <xdr:to>
      <xdr:col>8</xdr:col>
      <xdr:colOff>699614</xdr:colOff>
      <xdr:row>438</xdr:row>
      <xdr:rowOff>22280</xdr:rowOff>
    </xdr:to>
    <xdr:cxnSp macro="">
      <xdr:nvCxnSpPr>
        <xdr:cNvPr id="105" name="Straight Arrow Connector 104">
          <a:extLst>
            <a:ext uri="{FF2B5EF4-FFF2-40B4-BE49-F238E27FC236}">
              <a16:creationId xmlns:a16="http://schemas.microsoft.com/office/drawing/2014/main" id="{5512F21D-F409-EF94-CC43-F8D0EBA6002F}"/>
            </a:ext>
          </a:extLst>
        </xdr:cNvPr>
        <xdr:cNvCxnSpPr/>
      </xdr:nvCxnSpPr>
      <xdr:spPr>
        <a:xfrm flipV="1">
          <a:off x="13499993052" y="89965017"/>
          <a:ext cx="4456" cy="23171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573412</xdr:colOff>
      <xdr:row>520</xdr:row>
      <xdr:rowOff>46722</xdr:rowOff>
    </xdr:from>
    <xdr:to>
      <xdr:col>7</xdr:col>
      <xdr:colOff>449385</xdr:colOff>
      <xdr:row>526</xdr:row>
      <xdr:rowOff>68044</xdr:rowOff>
    </xdr:to>
    <xdr:pic>
      <xdr:nvPicPr>
        <xdr:cNvPr id="106" name="Picture 105">
          <a:extLst>
            <a:ext uri="{FF2B5EF4-FFF2-40B4-BE49-F238E27FC236}">
              <a16:creationId xmlns:a16="http://schemas.microsoft.com/office/drawing/2014/main" id="{AEE3A3A4-D77C-A6FB-0FA5-C0F21E111CEF}"/>
            </a:ext>
          </a:extLst>
        </xdr:cNvPr>
        <xdr:cNvPicPr>
          <a:picLocks noChangeAspect="1"/>
        </xdr:cNvPicPr>
      </xdr:nvPicPr>
      <xdr:blipFill>
        <a:blip xmlns:r="http://schemas.openxmlformats.org/officeDocument/2006/relationships" r:embed="rId4"/>
        <a:stretch>
          <a:fillRect/>
        </a:stretch>
      </xdr:blipFill>
      <xdr:spPr>
        <a:xfrm>
          <a:off x="13494965631" y="106650267"/>
          <a:ext cx="1524000" cy="1244600"/>
        </a:xfrm>
        <a:prstGeom prst="rect">
          <a:avLst/>
        </a:prstGeom>
      </xdr:spPr>
    </xdr:pic>
    <xdr:clientData/>
  </xdr:twoCellAnchor>
  <xdr:twoCellAnchor>
    <xdr:from>
      <xdr:col>7</xdr:col>
      <xdr:colOff>361036</xdr:colOff>
      <xdr:row>518</xdr:row>
      <xdr:rowOff>127426</xdr:rowOff>
    </xdr:from>
    <xdr:to>
      <xdr:col>9</xdr:col>
      <xdr:colOff>348294</xdr:colOff>
      <xdr:row>524</xdr:row>
      <xdr:rowOff>93444</xdr:rowOff>
    </xdr:to>
    <xdr:sp macro="" textlink="">
      <xdr:nvSpPr>
        <xdr:cNvPr id="107" name="Rectangular Callout 106">
          <a:extLst>
            <a:ext uri="{FF2B5EF4-FFF2-40B4-BE49-F238E27FC236}">
              <a16:creationId xmlns:a16="http://schemas.microsoft.com/office/drawing/2014/main" id="{D0E1A94B-E686-FAB7-52F9-DFC93A5405C1}"/>
            </a:ext>
          </a:extLst>
        </xdr:cNvPr>
        <xdr:cNvSpPr/>
      </xdr:nvSpPr>
      <xdr:spPr>
        <a:xfrm>
          <a:off x="13492870769" y="106323212"/>
          <a:ext cx="2183211" cy="1189296"/>
        </a:xfrm>
        <a:prstGeom prst="wedgeRectCallout">
          <a:avLst>
            <a:gd name="adj1" fmla="val 69123"/>
            <a:gd name="adj2" fmla="val 55540"/>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יתרת ההפרשה לי״ע</a:t>
          </a:r>
          <a:r>
            <a:rPr lang="he-IL" sz="1100" baseline="0"/>
            <a:t> היתה 50,000, הפחתנו 1/5 ממנה בקצב ההפחתה, נשארנו עם 40,000. </a:t>
          </a:r>
        </a:p>
        <a:p>
          <a:pPr algn="r" rtl="1"/>
          <a:r>
            <a:rPr lang="he-IL" sz="1100" baseline="0"/>
            <a:t>לאור עליית הערך (סב״ה גבוה) איפסנו גם את יתרת ההפרשה הנ״ל כנגד רווח מע״ע</a:t>
          </a:r>
          <a:endParaRPr lang="en-US" sz="1100"/>
        </a:p>
      </xdr:txBody>
    </xdr:sp>
    <xdr:clientData/>
  </xdr:twoCellAnchor>
  <xdr:twoCellAnchor editAs="oneCell">
    <xdr:from>
      <xdr:col>5</xdr:col>
      <xdr:colOff>790032</xdr:colOff>
      <xdr:row>519</xdr:row>
      <xdr:rowOff>164213</xdr:rowOff>
    </xdr:from>
    <xdr:to>
      <xdr:col>6</xdr:col>
      <xdr:colOff>744754</xdr:colOff>
      <xdr:row>522</xdr:row>
      <xdr:rowOff>7901</xdr:rowOff>
    </xdr:to>
    <xdr:pic>
      <xdr:nvPicPr>
        <xdr:cNvPr id="108" name="Picture 107">
          <a:extLst>
            <a:ext uri="{FF2B5EF4-FFF2-40B4-BE49-F238E27FC236}">
              <a16:creationId xmlns:a16="http://schemas.microsoft.com/office/drawing/2014/main" id="{9E5A1685-2D33-D7FC-24E9-C25B7F27FC36}"/>
            </a:ext>
          </a:extLst>
        </xdr:cNvPr>
        <xdr:cNvPicPr>
          <a:picLocks noChangeAspect="1"/>
        </xdr:cNvPicPr>
      </xdr:nvPicPr>
      <xdr:blipFill>
        <a:blip xmlns:r="http://schemas.openxmlformats.org/officeDocument/2006/relationships" r:embed="rId5"/>
        <a:stretch>
          <a:fillRect/>
        </a:stretch>
      </xdr:blipFill>
      <xdr:spPr>
        <a:xfrm rot="1929449">
          <a:off x="13495494276" y="106563879"/>
          <a:ext cx="778735" cy="455326"/>
        </a:xfrm>
        <a:prstGeom prst="rect">
          <a:avLst/>
        </a:prstGeom>
      </xdr:spPr>
    </xdr:pic>
    <xdr:clientData/>
  </xdr:twoCellAnchor>
  <xdr:twoCellAnchor editAs="oneCell">
    <xdr:from>
      <xdr:col>8</xdr:col>
      <xdr:colOff>127852</xdr:colOff>
      <xdr:row>597</xdr:row>
      <xdr:rowOff>127853</xdr:rowOff>
    </xdr:from>
    <xdr:to>
      <xdr:col>9</xdr:col>
      <xdr:colOff>254170</xdr:colOff>
      <xdr:row>604</xdr:row>
      <xdr:rowOff>92906</xdr:rowOff>
    </xdr:to>
    <xdr:pic>
      <xdr:nvPicPr>
        <xdr:cNvPr id="109" name="Picture 108">
          <a:extLst>
            <a:ext uri="{FF2B5EF4-FFF2-40B4-BE49-F238E27FC236}">
              <a16:creationId xmlns:a16="http://schemas.microsoft.com/office/drawing/2014/main" id="{7F4B2F29-2B8C-8B31-EE37-69DC9710C764}"/>
            </a:ext>
          </a:extLst>
        </xdr:cNvPr>
        <xdr:cNvPicPr>
          <a:picLocks noChangeAspect="1"/>
        </xdr:cNvPicPr>
      </xdr:nvPicPr>
      <xdr:blipFill>
        <a:blip xmlns:r="http://schemas.openxmlformats.org/officeDocument/2006/relationships" r:embed="rId6"/>
        <a:stretch>
          <a:fillRect/>
        </a:stretch>
      </xdr:blipFill>
      <xdr:spPr>
        <a:xfrm>
          <a:off x="13538244152" y="122912987"/>
          <a:ext cx="1498600" cy="1397000"/>
        </a:xfrm>
        <a:prstGeom prst="rect">
          <a:avLst/>
        </a:prstGeom>
      </xdr:spPr>
    </xdr:pic>
    <xdr:clientData/>
  </xdr:twoCellAnchor>
  <xdr:twoCellAnchor>
    <xdr:from>
      <xdr:col>9</xdr:col>
      <xdr:colOff>12784</xdr:colOff>
      <xdr:row>599</xdr:row>
      <xdr:rowOff>183255</xdr:rowOff>
    </xdr:from>
    <xdr:to>
      <xdr:col>10</xdr:col>
      <xdr:colOff>264227</xdr:colOff>
      <xdr:row>602</xdr:row>
      <xdr:rowOff>98020</xdr:rowOff>
    </xdr:to>
    <xdr:sp macro="" textlink="">
      <xdr:nvSpPr>
        <xdr:cNvPr id="110" name="Rectangular Callout 109">
          <a:extLst>
            <a:ext uri="{FF2B5EF4-FFF2-40B4-BE49-F238E27FC236}">
              <a16:creationId xmlns:a16="http://schemas.microsoft.com/office/drawing/2014/main" id="{FFAB0F89-733B-C0E7-C7D0-D07E2FBF3653}"/>
            </a:ext>
          </a:extLst>
        </xdr:cNvPr>
        <xdr:cNvSpPr/>
      </xdr:nvSpPr>
      <xdr:spPr>
        <a:xfrm>
          <a:off x="13537407316" y="123377517"/>
          <a:ext cx="1078222" cy="528456"/>
        </a:xfrm>
        <a:prstGeom prst="wedgeRectCallout">
          <a:avLst>
            <a:gd name="adj1" fmla="val 72876"/>
            <a:gd name="adj2" fmla="val -1414"/>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ז׳י</a:t>
          </a:r>
        </a:p>
        <a:p>
          <a:pPr algn="r" rtl="1"/>
          <a:r>
            <a:rPr lang="he-IL" sz="1100"/>
            <a:t>דיל</a:t>
          </a:r>
          <a:endParaRPr lang="en-US" sz="1100"/>
        </a:p>
      </xdr:txBody>
    </xdr:sp>
    <xdr:clientData/>
  </xdr:twoCellAnchor>
  <xdr:twoCellAnchor editAs="oneCell">
    <xdr:from>
      <xdr:col>8</xdr:col>
      <xdr:colOff>635523</xdr:colOff>
      <xdr:row>596</xdr:row>
      <xdr:rowOff>166209</xdr:rowOff>
    </xdr:from>
    <xdr:to>
      <xdr:col>8</xdr:col>
      <xdr:colOff>1363161</xdr:colOff>
      <xdr:row>599</xdr:row>
      <xdr:rowOff>137481</xdr:rowOff>
    </xdr:to>
    <xdr:pic>
      <xdr:nvPicPr>
        <xdr:cNvPr id="112" name="Picture 111">
          <a:extLst>
            <a:ext uri="{FF2B5EF4-FFF2-40B4-BE49-F238E27FC236}">
              <a16:creationId xmlns:a16="http://schemas.microsoft.com/office/drawing/2014/main" id="{A72B53E2-BEA0-7E09-430A-F0164CB75EFA}"/>
            </a:ext>
          </a:extLst>
        </xdr:cNvPr>
        <xdr:cNvPicPr>
          <a:picLocks noChangeAspect="1"/>
        </xdr:cNvPicPr>
      </xdr:nvPicPr>
      <xdr:blipFill>
        <a:blip xmlns:r="http://schemas.openxmlformats.org/officeDocument/2006/relationships" r:embed="rId7"/>
        <a:stretch>
          <a:fillRect/>
        </a:stretch>
      </xdr:blipFill>
      <xdr:spPr>
        <a:xfrm>
          <a:off x="13538507443" y="122746779"/>
          <a:ext cx="727638" cy="5849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371266</xdr:colOff>
      <xdr:row>28</xdr:row>
      <xdr:rowOff>136703</xdr:rowOff>
    </xdr:from>
    <xdr:to>
      <xdr:col>12</xdr:col>
      <xdr:colOff>801209</xdr:colOff>
      <xdr:row>45</xdr:row>
      <xdr:rowOff>141112</xdr:rowOff>
    </xdr:to>
    <xdr:pic>
      <xdr:nvPicPr>
        <xdr:cNvPr id="3" name="Picture 2">
          <a:extLst>
            <a:ext uri="{FF2B5EF4-FFF2-40B4-BE49-F238E27FC236}">
              <a16:creationId xmlns:a16="http://schemas.microsoft.com/office/drawing/2014/main" id="{D7887880-8ADB-5C46-93AD-FA4ABF353513}"/>
            </a:ext>
          </a:extLst>
        </xdr:cNvPr>
        <xdr:cNvPicPr>
          <a:picLocks noChangeAspect="1"/>
        </xdr:cNvPicPr>
      </xdr:nvPicPr>
      <xdr:blipFill>
        <a:blip xmlns:r="http://schemas.openxmlformats.org/officeDocument/2006/relationships" r:embed="rId1"/>
        <a:stretch>
          <a:fillRect/>
        </a:stretch>
      </xdr:blipFill>
      <xdr:spPr>
        <a:xfrm>
          <a:off x="13500239892" y="5816425"/>
          <a:ext cx="3933842" cy="3452812"/>
        </a:xfrm>
        <a:prstGeom prst="rect">
          <a:avLst/>
        </a:prstGeom>
      </xdr:spPr>
    </xdr:pic>
    <xdr:clientData/>
  </xdr:twoCellAnchor>
  <xdr:twoCellAnchor>
    <xdr:from>
      <xdr:col>3</xdr:col>
      <xdr:colOff>141111</xdr:colOff>
      <xdr:row>249</xdr:row>
      <xdr:rowOff>21710</xdr:rowOff>
    </xdr:from>
    <xdr:to>
      <xdr:col>3</xdr:col>
      <xdr:colOff>260513</xdr:colOff>
      <xdr:row>249</xdr:row>
      <xdr:rowOff>195385</xdr:rowOff>
    </xdr:to>
    <xdr:sp macro="" textlink="">
      <xdr:nvSpPr>
        <xdr:cNvPr id="4" name="Down Arrow 3">
          <a:extLst>
            <a:ext uri="{FF2B5EF4-FFF2-40B4-BE49-F238E27FC236}">
              <a16:creationId xmlns:a16="http://schemas.microsoft.com/office/drawing/2014/main" id="{6DCFCE43-1FA2-0A4F-81B4-1C8837FE320E}"/>
            </a:ext>
          </a:extLst>
        </xdr:cNvPr>
        <xdr:cNvSpPr/>
      </xdr:nvSpPr>
      <xdr:spPr>
        <a:xfrm>
          <a:off x="13522254987" y="21789510"/>
          <a:ext cx="119402" cy="1736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336492</xdr:colOff>
      <xdr:row>355</xdr:row>
      <xdr:rowOff>154681</xdr:rowOff>
    </xdr:from>
    <xdr:to>
      <xdr:col>5</xdr:col>
      <xdr:colOff>382628</xdr:colOff>
      <xdr:row>357</xdr:row>
      <xdr:rowOff>27137</xdr:rowOff>
    </xdr:to>
    <xdr:sp macro="" textlink="">
      <xdr:nvSpPr>
        <xdr:cNvPr id="5" name="Left Brace 4">
          <a:extLst>
            <a:ext uri="{FF2B5EF4-FFF2-40B4-BE49-F238E27FC236}">
              <a16:creationId xmlns:a16="http://schemas.microsoft.com/office/drawing/2014/main" id="{B217968C-71DB-694F-91D8-15E8D22970EA}"/>
            </a:ext>
          </a:extLst>
        </xdr:cNvPr>
        <xdr:cNvSpPr/>
      </xdr:nvSpPr>
      <xdr:spPr>
        <a:xfrm rot="16200000">
          <a:off x="13521191012" y="41787341"/>
          <a:ext cx="278856" cy="1697136"/>
        </a:xfrm>
        <a:prstGeom prst="leftBrace">
          <a:avLst/>
        </a:pr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678418</xdr:colOff>
      <xdr:row>401</xdr:row>
      <xdr:rowOff>174171</xdr:rowOff>
    </xdr:from>
    <xdr:to>
      <xdr:col>4</xdr:col>
      <xdr:colOff>173675</xdr:colOff>
      <xdr:row>405</xdr:row>
      <xdr:rowOff>113974</xdr:rowOff>
    </xdr:to>
    <xdr:sp macro="" textlink="">
      <xdr:nvSpPr>
        <xdr:cNvPr id="6" name="Rectangle 5">
          <a:extLst>
            <a:ext uri="{FF2B5EF4-FFF2-40B4-BE49-F238E27FC236}">
              <a16:creationId xmlns:a16="http://schemas.microsoft.com/office/drawing/2014/main" id="{C189621C-0529-2643-A000-C3F4A401794B}"/>
            </a:ext>
          </a:extLst>
        </xdr:cNvPr>
        <xdr:cNvSpPr/>
      </xdr:nvSpPr>
      <xdr:spPr>
        <a:xfrm>
          <a:off x="13521516325" y="50440771"/>
          <a:ext cx="1146257" cy="75260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סממנים לירידת ערך (גם</a:t>
          </a:r>
          <a:r>
            <a:rPr lang="he-IL" sz="1100" baseline="0"/>
            <a:t> כלכלית וגם היעדר כוונת חידוש)</a:t>
          </a:r>
          <a:endParaRPr lang="en-US" sz="1100"/>
        </a:p>
      </xdr:txBody>
    </xdr:sp>
    <xdr:clientData/>
  </xdr:twoCellAnchor>
  <xdr:twoCellAnchor>
    <xdr:from>
      <xdr:col>3</xdr:col>
      <xdr:colOff>287649</xdr:colOff>
      <xdr:row>405</xdr:row>
      <xdr:rowOff>124829</xdr:rowOff>
    </xdr:from>
    <xdr:to>
      <xdr:col>3</xdr:col>
      <xdr:colOff>569872</xdr:colOff>
      <xdr:row>408</xdr:row>
      <xdr:rowOff>0</xdr:rowOff>
    </xdr:to>
    <xdr:sp macro="" textlink="">
      <xdr:nvSpPr>
        <xdr:cNvPr id="7" name="Down Arrow 6">
          <a:extLst>
            <a:ext uri="{FF2B5EF4-FFF2-40B4-BE49-F238E27FC236}">
              <a16:creationId xmlns:a16="http://schemas.microsoft.com/office/drawing/2014/main" id="{8763BCC1-ACCD-6A47-9085-0B4D4998D809}"/>
            </a:ext>
          </a:extLst>
        </xdr:cNvPr>
        <xdr:cNvSpPr/>
      </xdr:nvSpPr>
      <xdr:spPr>
        <a:xfrm>
          <a:off x="13521945628" y="51204229"/>
          <a:ext cx="282223" cy="48477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662136</xdr:colOff>
      <xdr:row>408</xdr:row>
      <xdr:rowOff>21709</xdr:rowOff>
    </xdr:from>
    <xdr:to>
      <xdr:col>4</xdr:col>
      <xdr:colOff>157393</xdr:colOff>
      <xdr:row>409</xdr:row>
      <xdr:rowOff>81410</xdr:rowOff>
    </xdr:to>
    <xdr:sp macro="" textlink="">
      <xdr:nvSpPr>
        <xdr:cNvPr id="8" name="Rectangle 7">
          <a:extLst>
            <a:ext uri="{FF2B5EF4-FFF2-40B4-BE49-F238E27FC236}">
              <a16:creationId xmlns:a16="http://schemas.microsoft.com/office/drawing/2014/main" id="{E0F07917-7D6C-5243-8428-C24F6519CFC5}"/>
            </a:ext>
          </a:extLst>
        </xdr:cNvPr>
        <xdr:cNvSpPr/>
      </xdr:nvSpPr>
      <xdr:spPr>
        <a:xfrm>
          <a:off x="13521532607" y="51710709"/>
          <a:ext cx="1146257" cy="26290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בדיקת סב״ה מיד</a:t>
          </a:r>
          <a:endParaRPr lang="en-US" sz="1100"/>
        </a:p>
      </xdr:txBody>
    </xdr:sp>
    <xdr:clientData/>
  </xdr:twoCellAnchor>
  <xdr:twoCellAnchor>
    <xdr:from>
      <xdr:col>3</xdr:col>
      <xdr:colOff>293077</xdr:colOff>
      <xdr:row>409</xdr:row>
      <xdr:rowOff>92265</xdr:rowOff>
    </xdr:from>
    <xdr:to>
      <xdr:col>3</xdr:col>
      <xdr:colOff>575300</xdr:colOff>
      <xdr:row>411</xdr:row>
      <xdr:rowOff>168248</xdr:rowOff>
    </xdr:to>
    <xdr:sp macro="" textlink="">
      <xdr:nvSpPr>
        <xdr:cNvPr id="9" name="Down Arrow 8">
          <a:extLst>
            <a:ext uri="{FF2B5EF4-FFF2-40B4-BE49-F238E27FC236}">
              <a16:creationId xmlns:a16="http://schemas.microsoft.com/office/drawing/2014/main" id="{578F8872-FA95-BB4D-A079-321C20290DC3}"/>
            </a:ext>
          </a:extLst>
        </xdr:cNvPr>
        <xdr:cNvSpPr/>
      </xdr:nvSpPr>
      <xdr:spPr>
        <a:xfrm>
          <a:off x="13521940200" y="51984465"/>
          <a:ext cx="282223" cy="48238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510170</xdr:colOff>
      <xdr:row>412</xdr:row>
      <xdr:rowOff>10855</xdr:rowOff>
    </xdr:from>
    <xdr:to>
      <xdr:col>4</xdr:col>
      <xdr:colOff>325641</xdr:colOff>
      <xdr:row>414</xdr:row>
      <xdr:rowOff>200812</xdr:rowOff>
    </xdr:to>
    <xdr:sp macro="" textlink="">
      <xdr:nvSpPr>
        <xdr:cNvPr id="10" name="Rectangle 9">
          <a:extLst>
            <a:ext uri="{FF2B5EF4-FFF2-40B4-BE49-F238E27FC236}">
              <a16:creationId xmlns:a16="http://schemas.microsoft.com/office/drawing/2014/main" id="{432C094F-A907-A046-830A-E259FAD0A2B5}"/>
            </a:ext>
          </a:extLst>
        </xdr:cNvPr>
        <xdr:cNvSpPr/>
      </xdr:nvSpPr>
      <xdr:spPr>
        <a:xfrm>
          <a:off x="13521364359" y="52512655"/>
          <a:ext cx="1466471" cy="5963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אבל הסב״ה לא ירד ולכן אין הכרה בירידת ערך מיידית</a:t>
          </a:r>
          <a:endParaRPr lang="en-US" sz="1100"/>
        </a:p>
      </xdr:txBody>
    </xdr:sp>
    <xdr:clientData/>
  </xdr:twoCellAnchor>
  <xdr:twoCellAnchor>
    <xdr:from>
      <xdr:col>3</xdr:col>
      <xdr:colOff>249658</xdr:colOff>
      <xdr:row>415</xdr:row>
      <xdr:rowOff>32565</xdr:rowOff>
    </xdr:from>
    <xdr:to>
      <xdr:col>3</xdr:col>
      <xdr:colOff>531881</xdr:colOff>
      <xdr:row>417</xdr:row>
      <xdr:rowOff>108548</xdr:rowOff>
    </xdr:to>
    <xdr:sp macro="" textlink="">
      <xdr:nvSpPr>
        <xdr:cNvPr id="11" name="Down Arrow 10">
          <a:extLst>
            <a:ext uri="{FF2B5EF4-FFF2-40B4-BE49-F238E27FC236}">
              <a16:creationId xmlns:a16="http://schemas.microsoft.com/office/drawing/2014/main" id="{3464C974-040E-2E4C-98F8-2AC2BEE39EDF}"/>
            </a:ext>
          </a:extLst>
        </xdr:cNvPr>
        <xdr:cNvSpPr/>
      </xdr:nvSpPr>
      <xdr:spPr>
        <a:xfrm>
          <a:off x="13521983619" y="53143965"/>
          <a:ext cx="282223" cy="48238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499315</xdr:colOff>
      <xdr:row>417</xdr:row>
      <xdr:rowOff>119401</xdr:rowOff>
    </xdr:from>
    <xdr:to>
      <xdr:col>4</xdr:col>
      <xdr:colOff>314786</xdr:colOff>
      <xdr:row>420</xdr:row>
      <xdr:rowOff>108546</xdr:rowOff>
    </xdr:to>
    <xdr:sp macro="" textlink="">
      <xdr:nvSpPr>
        <xdr:cNvPr id="12" name="Rectangle 11">
          <a:extLst>
            <a:ext uri="{FF2B5EF4-FFF2-40B4-BE49-F238E27FC236}">
              <a16:creationId xmlns:a16="http://schemas.microsoft.com/office/drawing/2014/main" id="{4EB7CB2E-D77E-B048-AA34-8CDAFC094B35}"/>
            </a:ext>
          </a:extLst>
        </xdr:cNvPr>
        <xdr:cNvSpPr/>
      </xdr:nvSpPr>
      <xdr:spPr>
        <a:xfrm>
          <a:off x="13521375214" y="53637201"/>
          <a:ext cx="1466471" cy="59874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אבל לאור המעבר לאורך חיים מוגדר</a:t>
          </a:r>
          <a:endParaRPr lang="en-US" sz="1100"/>
        </a:p>
      </xdr:txBody>
    </xdr:sp>
    <xdr:clientData/>
  </xdr:twoCellAnchor>
  <xdr:twoCellAnchor>
    <xdr:from>
      <xdr:col>2</xdr:col>
      <xdr:colOff>5427</xdr:colOff>
      <xdr:row>418</xdr:row>
      <xdr:rowOff>48846</xdr:rowOff>
    </xdr:from>
    <xdr:to>
      <xdr:col>2</xdr:col>
      <xdr:colOff>483034</xdr:colOff>
      <xdr:row>419</xdr:row>
      <xdr:rowOff>130257</xdr:rowOff>
    </xdr:to>
    <xdr:sp macro="" textlink="">
      <xdr:nvSpPr>
        <xdr:cNvPr id="13" name="Down Arrow 12">
          <a:extLst>
            <a:ext uri="{FF2B5EF4-FFF2-40B4-BE49-F238E27FC236}">
              <a16:creationId xmlns:a16="http://schemas.microsoft.com/office/drawing/2014/main" id="{CF71999E-A095-234F-82CA-EC054E9CFF4E}"/>
            </a:ext>
          </a:extLst>
        </xdr:cNvPr>
        <xdr:cNvSpPr/>
      </xdr:nvSpPr>
      <xdr:spPr>
        <a:xfrm rot="16200000">
          <a:off x="13522954464" y="53673348"/>
          <a:ext cx="284611" cy="47760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141111</xdr:colOff>
      <xdr:row>417</xdr:row>
      <xdr:rowOff>108547</xdr:rowOff>
    </xdr:from>
    <xdr:to>
      <xdr:col>1</xdr:col>
      <xdr:colOff>781539</xdr:colOff>
      <xdr:row>420</xdr:row>
      <xdr:rowOff>97692</xdr:rowOff>
    </xdr:to>
    <xdr:sp macro="" textlink="">
      <xdr:nvSpPr>
        <xdr:cNvPr id="14" name="Rectangle 13">
          <a:extLst>
            <a:ext uri="{FF2B5EF4-FFF2-40B4-BE49-F238E27FC236}">
              <a16:creationId xmlns:a16="http://schemas.microsoft.com/office/drawing/2014/main" id="{6F3CE56F-E12B-C243-8FFD-F1E16DABAE7E}"/>
            </a:ext>
          </a:extLst>
        </xdr:cNvPr>
        <xdr:cNvSpPr/>
      </xdr:nvSpPr>
      <xdr:spPr>
        <a:xfrm>
          <a:off x="13523384961" y="53626347"/>
          <a:ext cx="1465928" cy="59874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solidFill>
                <a:sysClr val="windowText" lastClr="000000"/>
              </a:solidFill>
            </a:rPr>
            <a:t>הפחתת הפריט (הוצאות הפחתה)</a:t>
          </a:r>
          <a:endParaRPr lang="en-US" sz="1100">
            <a:solidFill>
              <a:sysClr val="windowText" lastClr="000000"/>
            </a:solidFill>
          </a:endParaRPr>
        </a:p>
      </xdr:txBody>
    </xdr:sp>
    <xdr:clientData/>
  </xdr:twoCellAnchor>
  <xdr:twoCellAnchor>
    <xdr:from>
      <xdr:col>5</xdr:col>
      <xdr:colOff>309359</xdr:colOff>
      <xdr:row>417</xdr:row>
      <xdr:rowOff>119401</xdr:rowOff>
    </xdr:from>
    <xdr:to>
      <xdr:col>7</xdr:col>
      <xdr:colOff>124829</xdr:colOff>
      <xdr:row>420</xdr:row>
      <xdr:rowOff>108546</xdr:rowOff>
    </xdr:to>
    <xdr:sp macro="" textlink="">
      <xdr:nvSpPr>
        <xdr:cNvPr id="15" name="Rectangle 14">
          <a:extLst>
            <a:ext uri="{FF2B5EF4-FFF2-40B4-BE49-F238E27FC236}">
              <a16:creationId xmlns:a16="http://schemas.microsoft.com/office/drawing/2014/main" id="{E8C4040D-313A-4A4B-8055-100930E8A546}"/>
            </a:ext>
          </a:extLst>
        </xdr:cNvPr>
        <xdr:cNvSpPr/>
      </xdr:nvSpPr>
      <xdr:spPr>
        <a:xfrm>
          <a:off x="13519088671" y="53637201"/>
          <a:ext cx="1466470" cy="59874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solidFill>
                <a:sysClr val="windowText" lastClr="000000"/>
              </a:solidFill>
            </a:rPr>
            <a:t>הפחתת</a:t>
          </a:r>
          <a:r>
            <a:rPr lang="he-IL" sz="1100" baseline="0">
              <a:solidFill>
                <a:sysClr val="windowText" lastClr="000000"/>
              </a:solidFill>
            </a:rPr>
            <a:t> קרן ההערכה מחדש לעודפים (הפרקטיקה הנהוגה)</a:t>
          </a:r>
          <a:endParaRPr lang="en-US" sz="1100">
            <a:solidFill>
              <a:sysClr val="windowText" lastClr="000000"/>
            </a:solidFill>
          </a:endParaRPr>
        </a:p>
      </xdr:txBody>
    </xdr:sp>
    <xdr:clientData/>
  </xdr:twoCellAnchor>
  <xdr:twoCellAnchor>
    <xdr:from>
      <xdr:col>4</xdr:col>
      <xdr:colOff>455898</xdr:colOff>
      <xdr:row>418</xdr:row>
      <xdr:rowOff>75983</xdr:rowOff>
    </xdr:from>
    <xdr:to>
      <xdr:col>5</xdr:col>
      <xdr:colOff>108548</xdr:colOff>
      <xdr:row>419</xdr:row>
      <xdr:rowOff>157394</xdr:rowOff>
    </xdr:to>
    <xdr:sp macro="" textlink="">
      <xdr:nvSpPr>
        <xdr:cNvPr id="16" name="Down Arrow 15">
          <a:extLst>
            <a:ext uri="{FF2B5EF4-FFF2-40B4-BE49-F238E27FC236}">
              <a16:creationId xmlns:a16="http://schemas.microsoft.com/office/drawing/2014/main" id="{3D62C7E2-AE1B-1B4F-9A93-486788EE5B1F}"/>
            </a:ext>
          </a:extLst>
        </xdr:cNvPr>
        <xdr:cNvSpPr/>
      </xdr:nvSpPr>
      <xdr:spPr>
        <a:xfrm rot="5400000">
          <a:off x="13520852721" y="53700214"/>
          <a:ext cx="284611" cy="47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409377</xdr:colOff>
      <xdr:row>663</xdr:row>
      <xdr:rowOff>13956</xdr:rowOff>
    </xdr:from>
    <xdr:to>
      <xdr:col>3</xdr:col>
      <xdr:colOff>195384</xdr:colOff>
      <xdr:row>666</xdr:row>
      <xdr:rowOff>27912</xdr:rowOff>
    </xdr:to>
    <xdr:cxnSp macro="">
      <xdr:nvCxnSpPr>
        <xdr:cNvPr id="17" name="Straight Arrow Connector 16">
          <a:extLst>
            <a:ext uri="{FF2B5EF4-FFF2-40B4-BE49-F238E27FC236}">
              <a16:creationId xmlns:a16="http://schemas.microsoft.com/office/drawing/2014/main" id="{F5365251-E1A5-DF43-92DE-682481515013}"/>
            </a:ext>
          </a:extLst>
        </xdr:cNvPr>
        <xdr:cNvCxnSpPr/>
      </xdr:nvCxnSpPr>
      <xdr:spPr>
        <a:xfrm>
          <a:off x="13522320116" y="89294956"/>
          <a:ext cx="611507" cy="62355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209340</xdr:colOff>
      <xdr:row>663</xdr:row>
      <xdr:rowOff>13956</xdr:rowOff>
    </xdr:from>
    <xdr:to>
      <xdr:col>4</xdr:col>
      <xdr:colOff>265165</xdr:colOff>
      <xdr:row>665</xdr:row>
      <xdr:rowOff>148865</xdr:rowOff>
    </xdr:to>
    <xdr:cxnSp macro="">
      <xdr:nvCxnSpPr>
        <xdr:cNvPr id="18" name="Straight Arrow Connector 17">
          <a:extLst>
            <a:ext uri="{FF2B5EF4-FFF2-40B4-BE49-F238E27FC236}">
              <a16:creationId xmlns:a16="http://schemas.microsoft.com/office/drawing/2014/main" id="{BB02D283-E447-EA4A-91F4-DDA5DCFEA927}"/>
            </a:ext>
          </a:extLst>
        </xdr:cNvPr>
        <xdr:cNvCxnSpPr/>
      </xdr:nvCxnSpPr>
      <xdr:spPr>
        <a:xfrm flipH="1">
          <a:off x="13521424835" y="89294956"/>
          <a:ext cx="881325" cy="5413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195384</xdr:colOff>
      <xdr:row>668</xdr:row>
      <xdr:rowOff>46520</xdr:rowOff>
    </xdr:from>
    <xdr:to>
      <xdr:col>2</xdr:col>
      <xdr:colOff>200036</xdr:colOff>
      <xdr:row>670</xdr:row>
      <xdr:rowOff>79084</xdr:rowOff>
    </xdr:to>
    <xdr:cxnSp macro="">
      <xdr:nvCxnSpPr>
        <xdr:cNvPr id="19" name="Straight Arrow Connector 18">
          <a:extLst>
            <a:ext uri="{FF2B5EF4-FFF2-40B4-BE49-F238E27FC236}">
              <a16:creationId xmlns:a16="http://schemas.microsoft.com/office/drawing/2014/main" id="{82735F83-5D66-9F4F-940E-D48356DD46DE}"/>
            </a:ext>
          </a:extLst>
        </xdr:cNvPr>
        <xdr:cNvCxnSpPr/>
      </xdr:nvCxnSpPr>
      <xdr:spPr>
        <a:xfrm>
          <a:off x="13523140964" y="90343520"/>
          <a:ext cx="4652" cy="4389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414029</xdr:colOff>
      <xdr:row>668</xdr:row>
      <xdr:rowOff>51172</xdr:rowOff>
    </xdr:from>
    <xdr:to>
      <xdr:col>4</xdr:col>
      <xdr:colOff>418681</xdr:colOff>
      <xdr:row>670</xdr:row>
      <xdr:rowOff>83736</xdr:rowOff>
    </xdr:to>
    <xdr:cxnSp macro="">
      <xdr:nvCxnSpPr>
        <xdr:cNvPr id="20" name="Straight Arrow Connector 19">
          <a:extLst>
            <a:ext uri="{FF2B5EF4-FFF2-40B4-BE49-F238E27FC236}">
              <a16:creationId xmlns:a16="http://schemas.microsoft.com/office/drawing/2014/main" id="{0E3BD432-DC3F-2842-99F3-1EC3AD21A0C6}"/>
            </a:ext>
          </a:extLst>
        </xdr:cNvPr>
        <xdr:cNvCxnSpPr/>
      </xdr:nvCxnSpPr>
      <xdr:spPr>
        <a:xfrm>
          <a:off x="13521271319" y="90348172"/>
          <a:ext cx="4652" cy="4389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200526</xdr:colOff>
      <xdr:row>207</xdr:row>
      <xdr:rowOff>187158</xdr:rowOff>
    </xdr:from>
    <xdr:to>
      <xdr:col>3</xdr:col>
      <xdr:colOff>164877</xdr:colOff>
      <xdr:row>210</xdr:row>
      <xdr:rowOff>160421</xdr:rowOff>
    </xdr:to>
    <xdr:cxnSp macro="">
      <xdr:nvCxnSpPr>
        <xdr:cNvPr id="22" name="Straight Arrow Connector 21">
          <a:extLst>
            <a:ext uri="{FF2B5EF4-FFF2-40B4-BE49-F238E27FC236}">
              <a16:creationId xmlns:a16="http://schemas.microsoft.com/office/drawing/2014/main" id="{FA3B4E06-2A22-5448-C9E9-CCD0425E379A}"/>
            </a:ext>
          </a:extLst>
        </xdr:cNvPr>
        <xdr:cNvCxnSpPr/>
      </xdr:nvCxnSpPr>
      <xdr:spPr>
        <a:xfrm>
          <a:off x="13504101614" y="16380772"/>
          <a:ext cx="788737" cy="588210"/>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17825</xdr:colOff>
      <xdr:row>212</xdr:row>
      <xdr:rowOff>187158</xdr:rowOff>
    </xdr:from>
    <xdr:to>
      <xdr:col>2</xdr:col>
      <xdr:colOff>22281</xdr:colOff>
      <xdr:row>214</xdr:row>
      <xdr:rowOff>124772</xdr:rowOff>
    </xdr:to>
    <xdr:cxnSp macro="">
      <xdr:nvCxnSpPr>
        <xdr:cNvPr id="23" name="Straight Arrow Connector 22">
          <a:extLst>
            <a:ext uri="{FF2B5EF4-FFF2-40B4-BE49-F238E27FC236}">
              <a16:creationId xmlns:a16="http://schemas.microsoft.com/office/drawing/2014/main" id="{6A6BA8C4-6743-5FA8-A3B1-DDC536F62AE2}"/>
            </a:ext>
          </a:extLst>
        </xdr:cNvPr>
        <xdr:cNvCxnSpPr/>
      </xdr:nvCxnSpPr>
      <xdr:spPr>
        <a:xfrm flipH="1">
          <a:off x="13505068596" y="17405684"/>
          <a:ext cx="4456" cy="347579"/>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672877</xdr:colOff>
      <xdr:row>208</xdr:row>
      <xdr:rowOff>8913</xdr:rowOff>
    </xdr:from>
    <xdr:to>
      <xdr:col>6</xdr:col>
      <xdr:colOff>160421</xdr:colOff>
      <xdr:row>211</xdr:row>
      <xdr:rowOff>106947</xdr:rowOff>
    </xdr:to>
    <xdr:cxnSp macro="">
      <xdr:nvCxnSpPr>
        <xdr:cNvPr id="25" name="Straight Arrow Connector 24">
          <a:extLst>
            <a:ext uri="{FF2B5EF4-FFF2-40B4-BE49-F238E27FC236}">
              <a16:creationId xmlns:a16="http://schemas.microsoft.com/office/drawing/2014/main" id="{5D819723-A9EA-AF38-B8AE-5B2143D86DA0}"/>
            </a:ext>
          </a:extLst>
        </xdr:cNvPr>
        <xdr:cNvCxnSpPr/>
      </xdr:nvCxnSpPr>
      <xdr:spPr>
        <a:xfrm flipH="1">
          <a:off x="13501632912" y="16407509"/>
          <a:ext cx="1136316" cy="712982"/>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6</xdr:col>
      <xdr:colOff>267369</xdr:colOff>
      <xdr:row>213</xdr:row>
      <xdr:rowOff>22279</xdr:rowOff>
    </xdr:from>
    <xdr:to>
      <xdr:col>6</xdr:col>
      <xdr:colOff>271825</xdr:colOff>
      <xdr:row>214</xdr:row>
      <xdr:rowOff>164876</xdr:rowOff>
    </xdr:to>
    <xdr:cxnSp macro="">
      <xdr:nvCxnSpPr>
        <xdr:cNvPr id="28" name="Straight Arrow Connector 27">
          <a:extLst>
            <a:ext uri="{FF2B5EF4-FFF2-40B4-BE49-F238E27FC236}">
              <a16:creationId xmlns:a16="http://schemas.microsoft.com/office/drawing/2014/main" id="{680D7437-F450-84D1-883B-781DD5BFB431}"/>
            </a:ext>
          </a:extLst>
        </xdr:cNvPr>
        <xdr:cNvCxnSpPr/>
      </xdr:nvCxnSpPr>
      <xdr:spPr>
        <a:xfrm flipH="1">
          <a:off x="13501521508" y="17445788"/>
          <a:ext cx="4456" cy="347579"/>
        </a:xfrm>
        <a:prstGeom prst="straightConnector1">
          <a:avLst/>
        </a:prstGeom>
        <a:ln w="9525"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3</xdr:col>
      <xdr:colOff>655052</xdr:colOff>
      <xdr:row>353</xdr:row>
      <xdr:rowOff>111403</xdr:rowOff>
    </xdr:from>
    <xdr:to>
      <xdr:col>5</xdr:col>
      <xdr:colOff>71298</xdr:colOff>
      <xdr:row>353</xdr:row>
      <xdr:rowOff>115860</xdr:rowOff>
    </xdr:to>
    <xdr:cxnSp macro="">
      <xdr:nvCxnSpPr>
        <xdr:cNvPr id="30" name="Straight Arrow Connector 29">
          <a:extLst>
            <a:ext uri="{FF2B5EF4-FFF2-40B4-BE49-F238E27FC236}">
              <a16:creationId xmlns:a16="http://schemas.microsoft.com/office/drawing/2014/main" id="{ED017639-B370-76C7-0A87-6584C217776F}"/>
            </a:ext>
          </a:extLst>
        </xdr:cNvPr>
        <xdr:cNvCxnSpPr/>
      </xdr:nvCxnSpPr>
      <xdr:spPr>
        <a:xfrm flipV="1">
          <a:off x="13502546421" y="46303754"/>
          <a:ext cx="1065018" cy="4457"/>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55204</xdr:colOff>
      <xdr:row>352</xdr:row>
      <xdr:rowOff>8439</xdr:rowOff>
    </xdr:from>
    <xdr:to>
      <xdr:col>4</xdr:col>
      <xdr:colOff>790467</xdr:colOff>
      <xdr:row>352</xdr:row>
      <xdr:rowOff>197277</xdr:rowOff>
    </xdr:to>
    <xdr:sp macro="" textlink="">
      <xdr:nvSpPr>
        <xdr:cNvPr id="31" name="Rectangle 30">
          <a:extLst>
            <a:ext uri="{FF2B5EF4-FFF2-40B4-BE49-F238E27FC236}">
              <a16:creationId xmlns:a16="http://schemas.microsoft.com/office/drawing/2014/main" id="{CB4C0B85-756F-2571-81D7-096100DFFB5D}"/>
            </a:ext>
          </a:extLst>
        </xdr:cNvPr>
        <xdr:cNvSpPr/>
      </xdr:nvSpPr>
      <xdr:spPr>
        <a:xfrm>
          <a:off x="13538331879" y="44203020"/>
          <a:ext cx="735263" cy="1888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75,000</a:t>
          </a:r>
          <a:endParaRPr lang="en-US" sz="1100"/>
        </a:p>
      </xdr:txBody>
    </xdr:sp>
    <xdr:clientData/>
  </xdr:twoCellAnchor>
  <xdr:twoCellAnchor editAs="oneCell">
    <xdr:from>
      <xdr:col>10</xdr:col>
      <xdr:colOff>0</xdr:colOff>
      <xdr:row>386</xdr:row>
      <xdr:rowOff>0</xdr:rowOff>
    </xdr:from>
    <xdr:to>
      <xdr:col>12</xdr:col>
      <xdr:colOff>360509</xdr:colOff>
      <xdr:row>407</xdr:row>
      <xdr:rowOff>6806</xdr:rowOff>
    </xdr:to>
    <xdr:pic>
      <xdr:nvPicPr>
        <xdr:cNvPr id="21" name="Picture 20">
          <a:extLst>
            <a:ext uri="{FF2B5EF4-FFF2-40B4-BE49-F238E27FC236}">
              <a16:creationId xmlns:a16="http://schemas.microsoft.com/office/drawing/2014/main" id="{3F9B3E6A-CA0C-A51A-6901-3AB9915DE412}"/>
            </a:ext>
          </a:extLst>
        </xdr:cNvPr>
        <xdr:cNvPicPr>
          <a:picLocks noChangeAspect="1"/>
        </xdr:cNvPicPr>
      </xdr:nvPicPr>
      <xdr:blipFill>
        <a:blip xmlns:r="http://schemas.openxmlformats.org/officeDocument/2006/relationships" r:embed="rId2"/>
        <a:stretch>
          <a:fillRect/>
        </a:stretch>
      </xdr:blipFill>
      <xdr:spPr>
        <a:xfrm>
          <a:off x="13554725787" y="52610276"/>
          <a:ext cx="2222500" cy="4279900"/>
        </a:xfrm>
        <a:prstGeom prst="rect">
          <a:avLst/>
        </a:prstGeom>
      </xdr:spPr>
    </xdr:pic>
    <xdr:clientData/>
  </xdr:twoCellAnchor>
  <xdr:twoCellAnchor>
    <xdr:from>
      <xdr:col>8</xdr:col>
      <xdr:colOff>526243</xdr:colOff>
      <xdr:row>390</xdr:row>
      <xdr:rowOff>91215</xdr:rowOff>
    </xdr:from>
    <xdr:to>
      <xdr:col>10</xdr:col>
      <xdr:colOff>631491</xdr:colOff>
      <xdr:row>397</xdr:row>
      <xdr:rowOff>98231</xdr:rowOff>
    </xdr:to>
    <xdr:sp macro="" textlink="">
      <xdr:nvSpPr>
        <xdr:cNvPr id="24" name="Rounded Rectangular Callout 23">
          <a:extLst>
            <a:ext uri="{FF2B5EF4-FFF2-40B4-BE49-F238E27FC236}">
              <a16:creationId xmlns:a16="http://schemas.microsoft.com/office/drawing/2014/main" id="{3BC78E20-F593-F2F8-3044-63DF59F23F5A}"/>
            </a:ext>
          </a:extLst>
        </xdr:cNvPr>
        <xdr:cNvSpPr/>
      </xdr:nvSpPr>
      <xdr:spPr>
        <a:xfrm>
          <a:off x="13556316796" y="53515414"/>
          <a:ext cx="1761160" cy="1431381"/>
        </a:xfrm>
        <a:prstGeom prst="wedgeRoundRectCallout">
          <a:avLst>
            <a:gd name="adj1" fmla="val -61072"/>
            <a:gd name="adj2" fmla="val -16912"/>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אם אתה ניתן לחידוש בעלות לא משמעותית, ולפתע החלטת לוותר על זכות זו, אני מתחיל לחשוד.</a:t>
          </a:r>
          <a:r>
            <a:rPr lang="he-IL" sz="1100" baseline="0"/>
            <a:t> </a:t>
          </a:r>
        </a:p>
        <a:p>
          <a:pPr algn="r" rtl="1"/>
          <a:r>
            <a:rPr lang="en-US" sz="1100" baseline="0"/>
            <a:t>Seems a little SUSSSS</a:t>
          </a:r>
          <a:endParaRPr lang="en-US" sz="1100"/>
        </a:p>
      </xdr:txBody>
    </xdr:sp>
    <xdr:clientData/>
  </xdr:twoCellAnchor>
  <xdr:twoCellAnchor>
    <xdr:from>
      <xdr:col>9</xdr:col>
      <xdr:colOff>428011</xdr:colOff>
      <xdr:row>382</xdr:row>
      <xdr:rowOff>182431</xdr:rowOff>
    </xdr:from>
    <xdr:to>
      <xdr:col>11</xdr:col>
      <xdr:colOff>533259</xdr:colOff>
      <xdr:row>385</xdr:row>
      <xdr:rowOff>175413</xdr:rowOff>
    </xdr:to>
    <xdr:sp macro="" textlink="">
      <xdr:nvSpPr>
        <xdr:cNvPr id="26" name="Rounded Rectangular Callout 25">
          <a:extLst>
            <a:ext uri="{FF2B5EF4-FFF2-40B4-BE49-F238E27FC236}">
              <a16:creationId xmlns:a16="http://schemas.microsoft.com/office/drawing/2014/main" id="{6A851F11-A441-7447-A9FE-6CDF93172917}"/>
            </a:ext>
          </a:extLst>
        </xdr:cNvPr>
        <xdr:cNvSpPr/>
      </xdr:nvSpPr>
      <xdr:spPr>
        <a:xfrm>
          <a:off x="13555587072" y="51978785"/>
          <a:ext cx="1761160" cy="603424"/>
        </a:xfrm>
        <a:prstGeom prst="wedgeRoundRectCallout">
          <a:avLst>
            <a:gd name="adj1" fmla="val -13662"/>
            <a:gd name="adj2" fmla="val 61029"/>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baseline="0"/>
            <a:t>אז מה אם לא מחדשים הכל טוב...</a:t>
          </a:r>
        </a:p>
      </xdr:txBody>
    </xdr:sp>
    <xdr:clientData/>
  </xdr:twoCellAnchor>
  <xdr:twoCellAnchor>
    <xdr:from>
      <xdr:col>2</xdr:col>
      <xdr:colOff>154101</xdr:colOff>
      <xdr:row>475</xdr:row>
      <xdr:rowOff>47824</xdr:rowOff>
    </xdr:from>
    <xdr:to>
      <xdr:col>2</xdr:col>
      <xdr:colOff>255063</xdr:colOff>
      <xdr:row>476</xdr:row>
      <xdr:rowOff>47825</xdr:rowOff>
    </xdr:to>
    <xdr:sp macro="" textlink="">
      <xdr:nvSpPr>
        <xdr:cNvPr id="27" name="Down Arrow 26">
          <a:extLst>
            <a:ext uri="{FF2B5EF4-FFF2-40B4-BE49-F238E27FC236}">
              <a16:creationId xmlns:a16="http://schemas.microsoft.com/office/drawing/2014/main" id="{6FC8A6BF-7FEA-0BE3-49D9-E6F175912FBA}"/>
            </a:ext>
          </a:extLst>
        </xdr:cNvPr>
        <xdr:cNvSpPr/>
      </xdr:nvSpPr>
      <xdr:spPr>
        <a:xfrm>
          <a:off x="13492618159" y="6993502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704080</xdr:colOff>
      <xdr:row>479</xdr:row>
      <xdr:rowOff>45168</xdr:rowOff>
    </xdr:from>
    <xdr:to>
      <xdr:col>2</xdr:col>
      <xdr:colOff>82365</xdr:colOff>
      <xdr:row>479</xdr:row>
      <xdr:rowOff>146130</xdr:rowOff>
    </xdr:to>
    <xdr:sp macro="" textlink="">
      <xdr:nvSpPr>
        <xdr:cNvPr id="29" name="Down Arrow 28">
          <a:extLst>
            <a:ext uri="{FF2B5EF4-FFF2-40B4-BE49-F238E27FC236}">
              <a16:creationId xmlns:a16="http://schemas.microsoft.com/office/drawing/2014/main" id="{5122BBDB-FC9B-5EC8-4EB3-F23A143610A0}"/>
            </a:ext>
          </a:extLst>
        </xdr:cNvPr>
        <xdr:cNvSpPr/>
      </xdr:nvSpPr>
      <xdr:spPr>
        <a:xfrm rot="18206592">
          <a:off x="13492841339" y="7068958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111588</xdr:colOff>
      <xdr:row>478</xdr:row>
      <xdr:rowOff>196610</xdr:rowOff>
    </xdr:from>
    <xdr:to>
      <xdr:col>3</xdr:col>
      <xdr:colOff>212550</xdr:colOff>
      <xdr:row>479</xdr:row>
      <xdr:rowOff>196611</xdr:rowOff>
    </xdr:to>
    <xdr:sp macro="" textlink="">
      <xdr:nvSpPr>
        <xdr:cNvPr id="32" name="Down Arrow 31">
          <a:extLst>
            <a:ext uri="{FF2B5EF4-FFF2-40B4-BE49-F238E27FC236}">
              <a16:creationId xmlns:a16="http://schemas.microsoft.com/office/drawing/2014/main" id="{0E13E8D4-A990-BBCE-2935-6A49FFA2CFE2}"/>
            </a:ext>
          </a:extLst>
        </xdr:cNvPr>
        <xdr:cNvSpPr/>
      </xdr:nvSpPr>
      <xdr:spPr>
        <a:xfrm rot="2574317">
          <a:off x="13491837031" y="70689581"/>
          <a:ext cx="100962" cy="2019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8</xdr:col>
      <xdr:colOff>0</xdr:colOff>
      <xdr:row>327</xdr:row>
      <xdr:rowOff>0</xdr:rowOff>
    </xdr:from>
    <xdr:to>
      <xdr:col>9</xdr:col>
      <xdr:colOff>230187</xdr:colOff>
      <xdr:row>331</xdr:row>
      <xdr:rowOff>88588</xdr:rowOff>
    </xdr:to>
    <xdr:pic>
      <xdr:nvPicPr>
        <xdr:cNvPr id="33" name="Picture 32">
          <a:extLst>
            <a:ext uri="{FF2B5EF4-FFF2-40B4-BE49-F238E27FC236}">
              <a16:creationId xmlns:a16="http://schemas.microsoft.com/office/drawing/2014/main" id="{44D713B3-0BBC-6341-A0BF-B5AEFC159E6F}"/>
            </a:ext>
          </a:extLst>
        </xdr:cNvPr>
        <xdr:cNvPicPr>
          <a:picLocks noChangeAspect="1"/>
        </xdr:cNvPicPr>
      </xdr:nvPicPr>
      <xdr:blipFill>
        <a:blip xmlns:r="http://schemas.openxmlformats.org/officeDocument/2006/relationships" r:embed="rId1"/>
        <a:stretch>
          <a:fillRect/>
        </a:stretch>
      </xdr:blipFill>
      <xdr:spPr>
        <a:xfrm>
          <a:off x="13531576320" y="39530925"/>
          <a:ext cx="1056557" cy="932356"/>
        </a:xfrm>
        <a:prstGeom prst="rect">
          <a:avLst/>
        </a:prstGeom>
      </xdr:spPr>
    </xdr:pic>
    <xdr:clientData/>
  </xdr:twoCellAnchor>
  <xdr:twoCellAnchor>
    <xdr:from>
      <xdr:col>8</xdr:col>
      <xdr:colOff>817672</xdr:colOff>
      <xdr:row>324</xdr:row>
      <xdr:rowOff>147876</xdr:rowOff>
    </xdr:from>
    <xdr:to>
      <xdr:col>10</xdr:col>
      <xdr:colOff>626300</xdr:colOff>
      <xdr:row>326</xdr:row>
      <xdr:rowOff>113081</xdr:rowOff>
    </xdr:to>
    <xdr:sp macro="" textlink="">
      <xdr:nvSpPr>
        <xdr:cNvPr id="34" name="Rounded Rectangular Callout 33">
          <a:extLst>
            <a:ext uri="{FF2B5EF4-FFF2-40B4-BE49-F238E27FC236}">
              <a16:creationId xmlns:a16="http://schemas.microsoft.com/office/drawing/2014/main" id="{0B497ED8-E06F-2AA3-FCA7-1E905CC8986B}"/>
            </a:ext>
          </a:extLst>
        </xdr:cNvPr>
        <xdr:cNvSpPr/>
      </xdr:nvSpPr>
      <xdr:spPr>
        <a:xfrm>
          <a:off x="13530353837" y="39065547"/>
          <a:ext cx="1461368" cy="374041"/>
        </a:xfrm>
        <a:prstGeom prst="wedgeRoundRectCallout">
          <a:avLst>
            <a:gd name="adj1" fmla="val 62447"/>
            <a:gd name="adj2" fmla="val 73125"/>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וואללה</a:t>
          </a:r>
          <a:r>
            <a:rPr lang="he-IL" sz="1100" baseline="0"/>
            <a:t> כן זה בסדר שי</a:t>
          </a:r>
          <a:endParaRPr lang="en-US" sz="1100"/>
        </a:p>
      </xdr:txBody>
    </xdr:sp>
    <xdr:clientData/>
  </xdr:twoCellAnchor>
  <xdr:twoCellAnchor>
    <xdr:from>
      <xdr:col>2</xdr:col>
      <xdr:colOff>48109</xdr:colOff>
      <xdr:row>352</xdr:row>
      <xdr:rowOff>19082</xdr:rowOff>
    </xdr:from>
    <xdr:to>
      <xdr:col>2</xdr:col>
      <xdr:colOff>783372</xdr:colOff>
      <xdr:row>353</xdr:row>
      <xdr:rowOff>5713</xdr:rowOff>
    </xdr:to>
    <xdr:sp macro="" textlink="">
      <xdr:nvSpPr>
        <xdr:cNvPr id="35" name="Rectangle 34">
          <a:extLst>
            <a:ext uri="{FF2B5EF4-FFF2-40B4-BE49-F238E27FC236}">
              <a16:creationId xmlns:a16="http://schemas.microsoft.com/office/drawing/2014/main" id="{79134A5E-CA45-5EAF-1C0F-B1516BB0377F}"/>
            </a:ext>
          </a:extLst>
        </xdr:cNvPr>
        <xdr:cNvSpPr/>
      </xdr:nvSpPr>
      <xdr:spPr>
        <a:xfrm>
          <a:off x="13539992103" y="44213663"/>
          <a:ext cx="735263" cy="18883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71,485</a:t>
          </a:r>
          <a:endParaRPr lang="en-US" sz="1100"/>
        </a:p>
      </xdr:txBody>
    </xdr:sp>
    <xdr:clientData/>
  </xdr:twoCellAnchor>
  <xdr:twoCellAnchor>
    <xdr:from>
      <xdr:col>5</xdr:col>
      <xdr:colOff>562615</xdr:colOff>
      <xdr:row>470</xdr:row>
      <xdr:rowOff>6704</xdr:rowOff>
    </xdr:from>
    <xdr:to>
      <xdr:col>5</xdr:col>
      <xdr:colOff>663577</xdr:colOff>
      <xdr:row>471</xdr:row>
      <xdr:rowOff>6704</xdr:rowOff>
    </xdr:to>
    <xdr:sp macro="" textlink="">
      <xdr:nvSpPr>
        <xdr:cNvPr id="36" name="Down Arrow 35">
          <a:extLst>
            <a:ext uri="{FF2B5EF4-FFF2-40B4-BE49-F238E27FC236}">
              <a16:creationId xmlns:a16="http://schemas.microsoft.com/office/drawing/2014/main" id="{E4AA9C87-E3D6-7DBD-DDD2-62071F75B3AF}"/>
            </a:ext>
          </a:extLst>
        </xdr:cNvPr>
        <xdr:cNvSpPr/>
      </xdr:nvSpPr>
      <xdr:spPr>
        <a:xfrm rot="10968069">
          <a:off x="13542881501" y="67993246"/>
          <a:ext cx="100962" cy="2017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523964</xdr:colOff>
      <xdr:row>468</xdr:row>
      <xdr:rowOff>187171</xdr:rowOff>
    </xdr:from>
    <xdr:to>
      <xdr:col>4</xdr:col>
      <xdr:colOff>624926</xdr:colOff>
      <xdr:row>471</xdr:row>
      <xdr:rowOff>70177</xdr:rowOff>
    </xdr:to>
    <xdr:sp macro="" textlink="">
      <xdr:nvSpPr>
        <xdr:cNvPr id="37" name="Down Arrow 36">
          <a:extLst>
            <a:ext uri="{FF2B5EF4-FFF2-40B4-BE49-F238E27FC236}">
              <a16:creationId xmlns:a16="http://schemas.microsoft.com/office/drawing/2014/main" id="{D38EB5E5-4B13-AFD6-C51C-87647176AE99}"/>
            </a:ext>
          </a:extLst>
        </xdr:cNvPr>
        <xdr:cNvSpPr/>
      </xdr:nvSpPr>
      <xdr:spPr>
        <a:xfrm rot="12883175">
          <a:off x="13543747037" y="67770162"/>
          <a:ext cx="100962" cy="488333"/>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816849</xdr:colOff>
      <xdr:row>472</xdr:row>
      <xdr:rowOff>61068</xdr:rowOff>
    </xdr:from>
    <xdr:to>
      <xdr:col>6</xdr:col>
      <xdr:colOff>191741</xdr:colOff>
      <xdr:row>472</xdr:row>
      <xdr:rowOff>162030</xdr:rowOff>
    </xdr:to>
    <xdr:sp macro="" textlink="">
      <xdr:nvSpPr>
        <xdr:cNvPr id="38" name="Down Arrow 37">
          <a:extLst>
            <a:ext uri="{FF2B5EF4-FFF2-40B4-BE49-F238E27FC236}">
              <a16:creationId xmlns:a16="http://schemas.microsoft.com/office/drawing/2014/main" id="{3FCBD5F8-5647-453F-D398-E8FCB5649B28}"/>
            </a:ext>
          </a:extLst>
        </xdr:cNvPr>
        <xdr:cNvSpPr/>
      </xdr:nvSpPr>
      <xdr:spPr>
        <a:xfrm rot="5400000">
          <a:off x="13542576860" y="68400754"/>
          <a:ext cx="100962" cy="20177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6</xdr:col>
      <xdr:colOff>185950</xdr:colOff>
      <xdr:row>528</xdr:row>
      <xdr:rowOff>51433</xdr:rowOff>
    </xdr:from>
    <xdr:to>
      <xdr:col>9</xdr:col>
      <xdr:colOff>249449</xdr:colOff>
      <xdr:row>536</xdr:row>
      <xdr:rowOff>114931</xdr:rowOff>
    </xdr:to>
    <xdr:pic>
      <xdr:nvPicPr>
        <xdr:cNvPr id="39" name="Picture 38" descr="upload.wikimedia.org/wikipedia/commons/9/94/Brikdi...">
          <a:extLst>
            <a:ext uri="{FF2B5EF4-FFF2-40B4-BE49-F238E27FC236}">
              <a16:creationId xmlns:a16="http://schemas.microsoft.com/office/drawing/2014/main" id="{353406AC-AB89-44CD-0690-471956085BD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539988090" y="76670810"/>
          <a:ext cx="2544154" cy="1677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5</xdr:col>
      <xdr:colOff>122649</xdr:colOff>
      <xdr:row>546</xdr:row>
      <xdr:rowOff>82845</xdr:rowOff>
    </xdr:from>
    <xdr:ext cx="1329325" cy="3851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ADCE083F-B169-942A-85CB-D62921DCBAE4}"/>
                </a:ext>
              </a:extLst>
            </xdr:cNvPr>
            <xdr:cNvSpPr txBox="1"/>
          </xdr:nvSpPr>
          <xdr:spPr>
            <a:xfrm>
              <a:off x="13542093104" y="80334185"/>
              <a:ext cx="1329325" cy="385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1.1 </m:t>
                        </m:r>
                        <m:r>
                          <a:rPr lang="he-IL" sz="1100" b="0" i="1">
                            <a:latin typeface="Cambria Math" panose="02040503050406030204" pitchFamily="18" charset="0"/>
                          </a:rPr>
                          <m:t>הערכה</m:t>
                        </m:r>
                        <m:r>
                          <a:rPr lang="he-IL" sz="1100" b="0" i="1">
                            <a:latin typeface="Cambria Math" panose="02040503050406030204" pitchFamily="18" charset="0"/>
                          </a:rPr>
                          <m:t> </m:t>
                        </m:r>
                        <m:r>
                          <a:rPr lang="he-IL" sz="1100" b="0" i="1">
                            <a:latin typeface="Cambria Math" panose="02040503050406030204" pitchFamily="18" charset="0"/>
                          </a:rPr>
                          <m:t>קרן</m:t>
                        </m:r>
                      </m:num>
                      <m:den>
                        <m:r>
                          <a:rPr lang="he-IL" sz="1100" b="0" i="1">
                            <a:latin typeface="Cambria Math" panose="02040503050406030204" pitchFamily="18" charset="0"/>
                          </a:rPr>
                          <m:t>(1−</m:t>
                        </m:r>
                        <m:r>
                          <a:rPr lang="en-US" sz="1100" b="0" i="1">
                            <a:latin typeface="Cambria Math" panose="02040503050406030204" pitchFamily="18" charset="0"/>
                          </a:rPr>
                          <m:t>𝑡</m:t>
                        </m:r>
                        <m:r>
                          <a:rPr lang="en-US" sz="1100" b="0" i="1">
                            <a:latin typeface="Cambria Math" panose="02040503050406030204" pitchFamily="18" charset="0"/>
                          </a:rPr>
                          <m:t>)</m:t>
                        </m:r>
                      </m:den>
                    </m:f>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ADCE083F-B169-942A-85CB-D62921DCBAE4}"/>
                </a:ext>
              </a:extLst>
            </xdr:cNvPr>
            <xdr:cNvSpPr txBox="1"/>
          </xdr:nvSpPr>
          <xdr:spPr>
            <a:xfrm>
              <a:off x="13542093104" y="80334185"/>
              <a:ext cx="1329325" cy="3851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 הערכה קרן)/((1−</a:t>
              </a:r>
              <a:r>
                <a:rPr lang="en-US" sz="1100" b="0" i="0">
                  <a:latin typeface="Cambria Math" panose="02040503050406030204" pitchFamily="18" charset="0"/>
                </a:rPr>
                <a:t>𝑡)</a:t>
              </a:r>
              <a:r>
                <a:rPr lang="he-IL" sz="1100" b="0" i="0">
                  <a:latin typeface="Cambria Math" panose="02040503050406030204" pitchFamily="18" charset="0"/>
                </a:rPr>
                <a:t>)</a:t>
              </a:r>
              <a:r>
                <a:rPr lang="en-US" sz="1100" b="0" i="0">
                  <a:latin typeface="Cambria Math" panose="02040503050406030204" pitchFamily="18" charset="0"/>
                </a:rPr>
                <a:t>=𝑥</a:t>
              </a:r>
              <a:endParaRPr lang="en-US" sz="1100"/>
            </a:p>
          </xdr:txBody>
        </xdr:sp>
      </mc:Fallback>
    </mc:AlternateContent>
    <xdr:clientData/>
  </xdr:oneCellAnchor>
  <xdr:oneCellAnchor>
    <xdr:from>
      <xdr:col>4</xdr:col>
      <xdr:colOff>451030</xdr:colOff>
      <xdr:row>548</xdr:row>
      <xdr:rowOff>173843</xdr:rowOff>
    </xdr:from>
    <xdr:ext cx="1539013" cy="28988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0FCCD3B-48A0-5C16-B26B-A21F9BABC861}"/>
                </a:ext>
              </a:extLst>
            </xdr:cNvPr>
            <xdr:cNvSpPr txBox="1"/>
          </xdr:nvSpPr>
          <xdr:spPr>
            <a:xfrm>
              <a:off x="13542381920" y="80828734"/>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𝑥</m:t>
                        </m:r>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41" name="TextBox 40">
              <a:extLst>
                <a:ext uri="{FF2B5EF4-FFF2-40B4-BE49-F238E27FC236}">
                  <a16:creationId xmlns:a16="http://schemas.microsoft.com/office/drawing/2014/main" id="{10FCCD3B-48A0-5C16-B26B-A21F9BABC861}"/>
                </a:ext>
              </a:extLst>
            </xdr:cNvPr>
            <xdr:cNvSpPr txBox="1"/>
          </xdr:nvSpPr>
          <xdr:spPr>
            <a:xfrm>
              <a:off x="13542381920" y="80828734"/>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−𝑥/𝑛</a:t>
              </a:r>
              <a:endParaRPr lang="en-US" sz="1100"/>
            </a:p>
          </xdr:txBody>
        </xdr:sp>
      </mc:Fallback>
    </mc:AlternateContent>
    <xdr:clientData/>
  </xdr:oneCellAnchor>
  <xdr:oneCellAnchor>
    <xdr:from>
      <xdr:col>4</xdr:col>
      <xdr:colOff>625110</xdr:colOff>
      <xdr:row>550</xdr:row>
      <xdr:rowOff>154061</xdr:rowOff>
    </xdr:from>
    <xdr:ext cx="1539013" cy="289888"/>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8B2CB8AC-71A3-00DF-71D0-26831CA88473}"/>
                </a:ext>
              </a:extLst>
            </xdr:cNvPr>
            <xdr:cNvSpPr txBox="1"/>
          </xdr:nvSpPr>
          <xdr:spPr>
            <a:xfrm>
              <a:off x="13542207840" y="81212503"/>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𝑥</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𝑐</m:t>
                    </m:r>
                  </m:oMath>
                </m:oMathPara>
              </a14:m>
              <a:endParaRPr lang="en-US" sz="1100"/>
            </a:p>
          </xdr:txBody>
        </xdr:sp>
      </mc:Choice>
      <mc:Fallback xmlns="">
        <xdr:sp macro="" textlink="">
          <xdr:nvSpPr>
            <xdr:cNvPr id="42" name="TextBox 41">
              <a:extLst>
                <a:ext uri="{FF2B5EF4-FFF2-40B4-BE49-F238E27FC236}">
                  <a16:creationId xmlns:a16="http://schemas.microsoft.com/office/drawing/2014/main" id="{8B2CB8AC-71A3-00DF-71D0-26831CA88473}"/>
                </a:ext>
              </a:extLst>
            </xdr:cNvPr>
            <xdr:cNvSpPr txBox="1"/>
          </xdr:nvSpPr>
          <xdr:spPr>
            <a:xfrm>
              <a:off x="13542207840" y="81212503"/>
              <a:ext cx="1539013"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𝑥−𝑥/𝑛=𝑐</a:t>
              </a:r>
              <a:endParaRPr lang="en-US" sz="1100"/>
            </a:p>
          </xdr:txBody>
        </xdr:sp>
      </mc:Fallback>
    </mc:AlternateContent>
    <xdr:clientData/>
  </xdr:oneCellAnchor>
  <xdr:oneCellAnchor>
    <xdr:from>
      <xdr:col>2</xdr:col>
      <xdr:colOff>621154</xdr:colOff>
      <xdr:row>555</xdr:row>
      <xdr:rowOff>185711</xdr:rowOff>
    </xdr:from>
    <xdr:ext cx="1539013" cy="172227"/>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9BA559EB-7F91-E5F5-F506-23CAFF2CF36A}"/>
                </a:ext>
              </a:extLst>
            </xdr:cNvPr>
            <xdr:cNvSpPr txBox="1"/>
          </xdr:nvSpPr>
          <xdr:spPr>
            <a:xfrm>
              <a:off x="13543865566" y="82253032"/>
              <a:ext cx="15390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𝑐</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9BA559EB-7F91-E5F5-F506-23CAFF2CF36A}"/>
                </a:ext>
              </a:extLst>
            </xdr:cNvPr>
            <xdr:cNvSpPr txBox="1"/>
          </xdr:nvSpPr>
          <xdr:spPr>
            <a:xfrm>
              <a:off x="13543865566" y="82253032"/>
              <a:ext cx="153901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𝑐</a:t>
              </a:r>
              <a:endParaRPr lang="en-US" sz="1100"/>
            </a:p>
          </xdr:txBody>
        </xdr:sp>
      </mc:Fallback>
    </mc:AlternateContent>
    <xdr:clientData/>
  </xdr:oneCellAnchor>
  <xdr:twoCellAnchor>
    <xdr:from>
      <xdr:col>3</xdr:col>
      <xdr:colOff>563775</xdr:colOff>
      <xdr:row>554</xdr:row>
      <xdr:rowOff>193863</xdr:rowOff>
    </xdr:from>
    <xdr:to>
      <xdr:col>4</xdr:col>
      <xdr:colOff>308599</xdr:colOff>
      <xdr:row>555</xdr:row>
      <xdr:rowOff>185711</xdr:rowOff>
    </xdr:to>
    <xdr:cxnSp macro="">
      <xdr:nvCxnSpPr>
        <xdr:cNvPr id="45" name="Straight Arrow Connector 44">
          <a:extLst>
            <a:ext uri="{FF2B5EF4-FFF2-40B4-BE49-F238E27FC236}">
              <a16:creationId xmlns:a16="http://schemas.microsoft.com/office/drawing/2014/main" id="{129D002B-2B53-27FF-9A14-ECF74F0AB0EC}"/>
            </a:ext>
          </a:extLst>
        </xdr:cNvPr>
        <xdr:cNvCxnSpPr>
          <a:endCxn id="43" idx="0"/>
        </xdr:cNvCxnSpPr>
      </xdr:nvCxnSpPr>
      <xdr:spPr>
        <a:xfrm>
          <a:off x="13544063364" y="82059408"/>
          <a:ext cx="571709" cy="19362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542025</xdr:colOff>
      <xdr:row>555</xdr:row>
      <xdr:rowOff>19782</xdr:rowOff>
    </xdr:from>
    <xdr:to>
      <xdr:col>5</xdr:col>
      <xdr:colOff>98910</xdr:colOff>
      <xdr:row>556</xdr:row>
      <xdr:rowOff>59345</xdr:rowOff>
    </xdr:to>
    <xdr:cxnSp macro="">
      <xdr:nvCxnSpPr>
        <xdr:cNvPr id="46" name="Straight Arrow Connector 45">
          <a:extLst>
            <a:ext uri="{FF2B5EF4-FFF2-40B4-BE49-F238E27FC236}">
              <a16:creationId xmlns:a16="http://schemas.microsoft.com/office/drawing/2014/main" id="{0B865E21-5223-4A3F-C735-30F33F0CEB11}"/>
            </a:ext>
          </a:extLst>
        </xdr:cNvPr>
        <xdr:cNvCxnSpPr/>
      </xdr:nvCxnSpPr>
      <xdr:spPr>
        <a:xfrm flipH="1">
          <a:off x="13543446168" y="82087103"/>
          <a:ext cx="383770" cy="2413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542026</xdr:colOff>
      <xdr:row>563</xdr:row>
      <xdr:rowOff>7675</xdr:rowOff>
    </xdr:from>
    <xdr:ext cx="1400540" cy="172227"/>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A42C41A2-F821-3178-70FB-2B8D6BA8F207}"/>
                </a:ext>
              </a:extLst>
            </xdr:cNvPr>
            <xdr:cNvSpPr txBox="1"/>
          </xdr:nvSpPr>
          <xdr:spPr>
            <a:xfrm>
              <a:off x="13542429397" y="83689201"/>
              <a:ext cx="14005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A42C41A2-F821-3178-70FB-2B8D6BA8F207}"/>
                </a:ext>
              </a:extLst>
            </xdr:cNvPr>
            <xdr:cNvSpPr txBox="1"/>
          </xdr:nvSpPr>
          <xdr:spPr>
            <a:xfrm>
              <a:off x="13542429397" y="83689201"/>
              <a:ext cx="140054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a:t>
              </a:r>
              <a:endParaRPr lang="en-US" sz="1100"/>
            </a:p>
          </xdr:txBody>
        </xdr:sp>
      </mc:Fallback>
    </mc:AlternateContent>
    <xdr:clientData/>
  </xdr:oneCellAnchor>
  <xdr:oneCellAnchor>
    <xdr:from>
      <xdr:col>4</xdr:col>
      <xdr:colOff>557851</xdr:colOff>
      <xdr:row>563</xdr:row>
      <xdr:rowOff>201538</xdr:rowOff>
    </xdr:from>
    <xdr:ext cx="1400540" cy="289888"/>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3F415AF4-4985-7226-27D4-BC66A1573DCC}"/>
                </a:ext>
              </a:extLst>
            </xdr:cNvPr>
            <xdr:cNvSpPr txBox="1"/>
          </xdr:nvSpPr>
          <xdr:spPr>
            <a:xfrm>
              <a:off x="13542413572" y="83883064"/>
              <a:ext cx="1400540"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𝑎</m:t>
                        </m:r>
                      </m:num>
                      <m:den>
                        <m:r>
                          <a:rPr lang="en-US" sz="1100" b="0" i="1">
                            <a:latin typeface="Cambria Math" panose="02040503050406030204" pitchFamily="18" charset="0"/>
                          </a:rPr>
                          <m:t>𝑛</m:t>
                        </m:r>
                      </m:den>
                    </m:f>
                  </m:oMath>
                </m:oMathPara>
              </a14:m>
              <a:endParaRPr lang="en-US" sz="1100"/>
            </a:p>
          </xdr:txBody>
        </xdr:sp>
      </mc:Choice>
      <mc:Fallback xmlns="">
        <xdr:sp macro="" textlink="">
          <xdr:nvSpPr>
            <xdr:cNvPr id="50" name="TextBox 49">
              <a:extLst>
                <a:ext uri="{FF2B5EF4-FFF2-40B4-BE49-F238E27FC236}">
                  <a16:creationId xmlns:a16="http://schemas.microsoft.com/office/drawing/2014/main" id="{3F415AF4-4985-7226-27D4-BC66A1573DCC}"/>
                </a:ext>
              </a:extLst>
            </xdr:cNvPr>
            <xdr:cNvSpPr txBox="1"/>
          </xdr:nvSpPr>
          <xdr:spPr>
            <a:xfrm>
              <a:off x="13542413572" y="83883064"/>
              <a:ext cx="1400540" cy="2898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−𝑎/𝑛</a:t>
              </a:r>
              <a:endParaRPr lang="en-US" sz="1100"/>
            </a:p>
          </xdr:txBody>
        </xdr:sp>
      </mc:Fallback>
    </mc:AlternateContent>
    <xdr:clientData/>
  </xdr:oneCellAnchor>
  <xdr:twoCellAnchor editAs="oneCell">
    <xdr:from>
      <xdr:col>7</xdr:col>
      <xdr:colOff>245279</xdr:colOff>
      <xdr:row>548</xdr:row>
      <xdr:rowOff>32703</xdr:rowOff>
    </xdr:from>
    <xdr:to>
      <xdr:col>9</xdr:col>
      <xdr:colOff>427984</xdr:colOff>
      <xdr:row>555</xdr:row>
      <xdr:rowOff>195787</xdr:rowOff>
    </xdr:to>
    <xdr:pic>
      <xdr:nvPicPr>
        <xdr:cNvPr id="51" name="Picture 50">
          <a:extLst>
            <a:ext uri="{FF2B5EF4-FFF2-40B4-BE49-F238E27FC236}">
              <a16:creationId xmlns:a16="http://schemas.microsoft.com/office/drawing/2014/main" id="{CDB159CB-C1E5-D7F8-2780-71C9AF120AD2}"/>
            </a:ext>
          </a:extLst>
        </xdr:cNvPr>
        <xdr:cNvPicPr>
          <a:picLocks noChangeAspect="1"/>
        </xdr:cNvPicPr>
      </xdr:nvPicPr>
      <xdr:blipFill>
        <a:blip xmlns:r="http://schemas.openxmlformats.org/officeDocument/2006/relationships" r:embed="rId4"/>
        <a:stretch>
          <a:fillRect/>
        </a:stretch>
      </xdr:blipFill>
      <xdr:spPr>
        <a:xfrm>
          <a:off x="13476970085" y="80658626"/>
          <a:ext cx="1828800" cy="1574800"/>
        </a:xfrm>
        <a:prstGeom prst="rect">
          <a:avLst/>
        </a:prstGeom>
      </xdr:spPr>
    </xdr:pic>
    <xdr:clientData/>
  </xdr:twoCellAnchor>
  <xdr:twoCellAnchor>
    <xdr:from>
      <xdr:col>8</xdr:col>
      <xdr:colOff>773992</xdr:colOff>
      <xdr:row>547</xdr:row>
      <xdr:rowOff>16351</xdr:rowOff>
    </xdr:from>
    <xdr:to>
      <xdr:col>11</xdr:col>
      <xdr:colOff>119915</xdr:colOff>
      <xdr:row>550</xdr:row>
      <xdr:rowOff>114463</xdr:rowOff>
    </xdr:to>
    <xdr:sp macro="" textlink="">
      <xdr:nvSpPr>
        <xdr:cNvPr id="52" name="Rounded Rectangular Callout 51">
          <a:extLst>
            <a:ext uri="{FF2B5EF4-FFF2-40B4-BE49-F238E27FC236}">
              <a16:creationId xmlns:a16="http://schemas.microsoft.com/office/drawing/2014/main" id="{A8BED421-9203-3D36-2944-2965388839C6}"/>
            </a:ext>
          </a:extLst>
        </xdr:cNvPr>
        <xdr:cNvSpPr/>
      </xdr:nvSpPr>
      <xdr:spPr>
        <a:xfrm>
          <a:off x="13475632060" y="80440600"/>
          <a:ext cx="1815064" cy="703133"/>
        </a:xfrm>
        <a:prstGeom prst="wedgeRoundRectCallout">
          <a:avLst>
            <a:gd name="adj1" fmla="val 52452"/>
            <a:gd name="adj2" fmla="val 7662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שי</a:t>
          </a:r>
          <a:r>
            <a:rPr lang="he-IL" sz="1100" baseline="0"/>
            <a:t> זה ממש קל אני מסכמת לך את כל התהליך בעצימת עיניים אחי</a:t>
          </a:r>
          <a:endParaRPr lang="en-US" sz="1100"/>
        </a:p>
      </xdr:txBody>
    </xdr:sp>
    <xdr:clientData/>
  </xdr:twoCellAnchor>
  <xdr:twoCellAnchor>
    <xdr:from>
      <xdr:col>3</xdr:col>
      <xdr:colOff>333501</xdr:colOff>
      <xdr:row>620</xdr:row>
      <xdr:rowOff>23581</xdr:rowOff>
    </xdr:from>
    <xdr:to>
      <xdr:col>3</xdr:col>
      <xdr:colOff>451406</xdr:colOff>
      <xdr:row>621</xdr:row>
      <xdr:rowOff>53900</xdr:rowOff>
    </xdr:to>
    <xdr:sp macro="" textlink="">
      <xdr:nvSpPr>
        <xdr:cNvPr id="44" name="Down Arrow 43">
          <a:extLst>
            <a:ext uri="{FF2B5EF4-FFF2-40B4-BE49-F238E27FC236}">
              <a16:creationId xmlns:a16="http://schemas.microsoft.com/office/drawing/2014/main" id="{D634137B-9A03-D50B-FD38-6B503390CFAE}"/>
            </a:ext>
          </a:extLst>
        </xdr:cNvPr>
        <xdr:cNvSpPr/>
      </xdr:nvSpPr>
      <xdr:spPr>
        <a:xfrm>
          <a:off x="13519304960" y="95438647"/>
          <a:ext cx="117905" cy="23244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727640</xdr:colOff>
      <xdr:row>687</xdr:row>
      <xdr:rowOff>3369</xdr:rowOff>
    </xdr:from>
    <xdr:to>
      <xdr:col>5</xdr:col>
      <xdr:colOff>53899</xdr:colOff>
      <xdr:row>688</xdr:row>
      <xdr:rowOff>208859</xdr:rowOff>
    </xdr:to>
    <xdr:sp macro="" textlink="">
      <xdr:nvSpPr>
        <xdr:cNvPr id="47" name="Right Brace 46">
          <a:extLst>
            <a:ext uri="{FF2B5EF4-FFF2-40B4-BE49-F238E27FC236}">
              <a16:creationId xmlns:a16="http://schemas.microsoft.com/office/drawing/2014/main" id="{59B7DF5E-891C-10E9-B34E-61FFDE3B9DAD}"/>
            </a:ext>
          </a:extLst>
        </xdr:cNvPr>
        <xdr:cNvSpPr/>
      </xdr:nvSpPr>
      <xdr:spPr>
        <a:xfrm>
          <a:off x="13518051804" y="108987560"/>
          <a:ext cx="151591" cy="407612"/>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491831</xdr:colOff>
      <xdr:row>688</xdr:row>
      <xdr:rowOff>13475</xdr:rowOff>
    </xdr:from>
    <xdr:to>
      <xdr:col>4</xdr:col>
      <xdr:colOff>693953</xdr:colOff>
      <xdr:row>694</xdr:row>
      <xdr:rowOff>101061</xdr:rowOff>
    </xdr:to>
    <xdr:cxnSp macro="">
      <xdr:nvCxnSpPr>
        <xdr:cNvPr id="53" name="Straight Arrow Connector 52">
          <a:extLst>
            <a:ext uri="{FF2B5EF4-FFF2-40B4-BE49-F238E27FC236}">
              <a16:creationId xmlns:a16="http://schemas.microsoft.com/office/drawing/2014/main" id="{115A4F7B-4E3A-F289-74C2-FCBB95CD3F7E}"/>
            </a:ext>
          </a:extLst>
        </xdr:cNvPr>
        <xdr:cNvCxnSpPr/>
      </xdr:nvCxnSpPr>
      <xdr:spPr>
        <a:xfrm>
          <a:off x="13518237082" y="109199788"/>
          <a:ext cx="1852785" cy="13542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232441</xdr:colOff>
      <xdr:row>691</xdr:row>
      <xdr:rowOff>175173</xdr:rowOff>
    </xdr:from>
    <xdr:to>
      <xdr:col>5</xdr:col>
      <xdr:colOff>256021</xdr:colOff>
      <xdr:row>693</xdr:row>
      <xdr:rowOff>202122</xdr:rowOff>
    </xdr:to>
    <xdr:cxnSp macro="">
      <xdr:nvCxnSpPr>
        <xdr:cNvPr id="54" name="Straight Arrow Connector 53">
          <a:extLst>
            <a:ext uri="{FF2B5EF4-FFF2-40B4-BE49-F238E27FC236}">
              <a16:creationId xmlns:a16="http://schemas.microsoft.com/office/drawing/2014/main" id="{92136711-C062-8012-1E99-8E11E975B091}"/>
            </a:ext>
          </a:extLst>
        </xdr:cNvPr>
        <xdr:cNvCxnSpPr/>
      </xdr:nvCxnSpPr>
      <xdr:spPr>
        <a:xfrm>
          <a:off x="13517849682" y="110008276"/>
          <a:ext cx="23580" cy="4446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xdr:col>
      <xdr:colOff>551216</xdr:colOff>
      <xdr:row>21</xdr:row>
      <xdr:rowOff>79374</xdr:rowOff>
    </xdr:from>
    <xdr:to>
      <xdr:col>7</xdr:col>
      <xdr:colOff>641880</xdr:colOff>
      <xdr:row>28</xdr:row>
      <xdr:rowOff>107244</xdr:rowOff>
    </xdr:to>
    <xdr:pic>
      <xdr:nvPicPr>
        <xdr:cNvPr id="48" name="Picture 47">
          <a:extLst>
            <a:ext uri="{FF2B5EF4-FFF2-40B4-BE49-F238E27FC236}">
              <a16:creationId xmlns:a16="http://schemas.microsoft.com/office/drawing/2014/main" id="{9BD85CB6-C0E4-0053-FE19-3FF6CBA0F11E}"/>
            </a:ext>
          </a:extLst>
        </xdr:cNvPr>
        <xdr:cNvPicPr>
          <a:picLocks noChangeAspect="1"/>
        </xdr:cNvPicPr>
      </xdr:nvPicPr>
      <xdr:blipFill>
        <a:blip xmlns:r="http://schemas.openxmlformats.org/officeDocument/2006/relationships" r:embed="rId5"/>
        <a:stretch>
          <a:fillRect/>
        </a:stretch>
      </xdr:blipFill>
      <xdr:spPr>
        <a:xfrm>
          <a:off x="13504727738" y="4339166"/>
          <a:ext cx="1739900" cy="1447800"/>
        </a:xfrm>
        <a:prstGeom prst="rect">
          <a:avLst/>
        </a:prstGeom>
      </xdr:spPr>
    </xdr:pic>
    <xdr:clientData/>
  </xdr:twoCellAnchor>
  <xdr:twoCellAnchor editAs="oneCell">
    <xdr:from>
      <xdr:col>6</xdr:col>
      <xdr:colOff>153349</xdr:colOff>
      <xdr:row>25</xdr:row>
      <xdr:rowOff>154401</xdr:rowOff>
    </xdr:from>
    <xdr:to>
      <xdr:col>7</xdr:col>
      <xdr:colOff>156809</xdr:colOff>
      <xdr:row>28</xdr:row>
      <xdr:rowOff>61736</xdr:rowOff>
    </xdr:to>
    <xdr:pic>
      <xdr:nvPicPr>
        <xdr:cNvPr id="55" name="Picture 54">
          <a:extLst>
            <a:ext uri="{FF2B5EF4-FFF2-40B4-BE49-F238E27FC236}">
              <a16:creationId xmlns:a16="http://schemas.microsoft.com/office/drawing/2014/main" id="{5476860C-4757-C300-BAC3-8EE92BE604D2}"/>
            </a:ext>
          </a:extLst>
        </xdr:cNvPr>
        <xdr:cNvPicPr>
          <a:picLocks noChangeAspect="1"/>
        </xdr:cNvPicPr>
      </xdr:nvPicPr>
      <xdr:blipFill>
        <a:blip xmlns:r="http://schemas.openxmlformats.org/officeDocument/2006/relationships" r:embed="rId6"/>
        <a:stretch>
          <a:fillRect/>
        </a:stretch>
      </xdr:blipFill>
      <xdr:spPr>
        <a:xfrm>
          <a:off x="13505212809" y="5225582"/>
          <a:ext cx="828078" cy="515876"/>
        </a:xfrm>
        <a:prstGeom prst="rect">
          <a:avLst/>
        </a:prstGeom>
      </xdr:spPr>
    </xdr:pic>
    <xdr:clientData/>
  </xdr:twoCellAnchor>
  <xdr:twoCellAnchor editAs="oneCell">
    <xdr:from>
      <xdr:col>6</xdr:col>
      <xdr:colOff>167568</xdr:colOff>
      <xdr:row>19</xdr:row>
      <xdr:rowOff>191175</xdr:rowOff>
    </xdr:from>
    <xdr:to>
      <xdr:col>7</xdr:col>
      <xdr:colOff>439031</xdr:colOff>
      <xdr:row>23</xdr:row>
      <xdr:rowOff>20025</xdr:rowOff>
    </xdr:to>
    <xdr:pic>
      <xdr:nvPicPr>
        <xdr:cNvPr id="56" name="Picture 55">
          <a:extLst>
            <a:ext uri="{FF2B5EF4-FFF2-40B4-BE49-F238E27FC236}">
              <a16:creationId xmlns:a16="http://schemas.microsoft.com/office/drawing/2014/main" id="{4E810850-7B01-277A-440F-30E43F460371}"/>
            </a:ext>
          </a:extLst>
        </xdr:cNvPr>
        <xdr:cNvPicPr>
          <a:picLocks noChangeAspect="1"/>
        </xdr:cNvPicPr>
      </xdr:nvPicPr>
      <xdr:blipFill>
        <a:blip xmlns:r="http://schemas.openxmlformats.org/officeDocument/2006/relationships" r:embed="rId7"/>
        <a:stretch>
          <a:fillRect/>
        </a:stretch>
      </xdr:blipFill>
      <xdr:spPr>
        <a:xfrm rot="1066685">
          <a:off x="13504930587" y="4045272"/>
          <a:ext cx="1096081" cy="640239"/>
        </a:xfrm>
        <a:prstGeom prst="rect">
          <a:avLst/>
        </a:prstGeom>
      </xdr:spPr>
    </xdr:pic>
    <xdr:clientData/>
  </xdr:twoCellAnchor>
  <xdr:twoCellAnchor>
    <xdr:from>
      <xdr:col>7</xdr:col>
      <xdr:colOff>520347</xdr:colOff>
      <xdr:row>22</xdr:row>
      <xdr:rowOff>101422</xdr:rowOff>
    </xdr:from>
    <xdr:to>
      <xdr:col>9</xdr:col>
      <xdr:colOff>806978</xdr:colOff>
      <xdr:row>25</xdr:row>
      <xdr:rowOff>74963</xdr:rowOff>
    </xdr:to>
    <xdr:sp macro="" textlink="">
      <xdr:nvSpPr>
        <xdr:cNvPr id="57" name="Rectangular Callout 56">
          <a:extLst>
            <a:ext uri="{FF2B5EF4-FFF2-40B4-BE49-F238E27FC236}">
              <a16:creationId xmlns:a16="http://schemas.microsoft.com/office/drawing/2014/main" id="{461DA675-9FC6-52BE-3A82-BE82998F12FF}"/>
            </a:ext>
          </a:extLst>
        </xdr:cNvPr>
        <xdr:cNvSpPr/>
      </xdr:nvSpPr>
      <xdr:spPr>
        <a:xfrm>
          <a:off x="13502913403" y="4564061"/>
          <a:ext cx="1935868" cy="582083"/>
        </a:xfrm>
        <a:prstGeom prst="wedgeRectCallout">
          <a:avLst>
            <a:gd name="adj1" fmla="val 67231"/>
            <a:gd name="adj2" fmla="val 4448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סמוח</a:t>
          </a:r>
          <a:r>
            <a:rPr lang="he-IL" sz="1100" baseline="0"/>
            <a:t> עליי זה מחשף פססה אחיייי</a:t>
          </a:r>
          <a:endParaRPr lang="en-US" sz="1100"/>
        </a:p>
      </xdr:txBody>
    </xdr:sp>
    <xdr:clientData/>
  </xdr:twoCellAnchor>
  <xdr:twoCellAnchor>
    <xdr:from>
      <xdr:col>12</xdr:col>
      <xdr:colOff>286632</xdr:colOff>
      <xdr:row>63</xdr:row>
      <xdr:rowOff>194028</xdr:rowOff>
    </xdr:from>
    <xdr:to>
      <xdr:col>19</xdr:col>
      <xdr:colOff>375532</xdr:colOff>
      <xdr:row>65</xdr:row>
      <xdr:rowOff>92781</xdr:rowOff>
    </xdr:to>
    <xdr:pic>
      <xdr:nvPicPr>
        <xdr:cNvPr id="58" name="Picture 57">
          <a:extLst>
            <a:ext uri="{FF2B5EF4-FFF2-40B4-BE49-F238E27FC236}">
              <a16:creationId xmlns:a16="http://schemas.microsoft.com/office/drawing/2014/main" id="{B3292840-3D47-C5DF-562E-E1D70F742C5C}"/>
            </a:ext>
          </a:extLst>
        </xdr:cNvPr>
        <xdr:cNvPicPr>
          <a:picLocks noChangeAspect="1" noChangeArrowheads="1"/>
        </xdr:cNvPicPr>
      </xdr:nvPicPr>
      <xdr:blipFill>
        <a:blip xmlns:r="http://schemas.openxmlformats.org/officeDocument/2006/relationships" r:embed="rId8">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13494498947" y="12973403"/>
          <a:ext cx="5861226" cy="3044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18</xdr:col>
      <xdr:colOff>687916</xdr:colOff>
      <xdr:row>210</xdr:row>
      <xdr:rowOff>145521</xdr:rowOff>
    </xdr:from>
    <xdr:to>
      <xdr:col>18</xdr:col>
      <xdr:colOff>687916</xdr:colOff>
      <xdr:row>212</xdr:row>
      <xdr:rowOff>26458</xdr:rowOff>
    </xdr:to>
    <xdr:cxnSp macro="">
      <xdr:nvCxnSpPr>
        <xdr:cNvPr id="61" name="Straight Arrow Connector 60">
          <a:extLst>
            <a:ext uri="{FF2B5EF4-FFF2-40B4-BE49-F238E27FC236}">
              <a16:creationId xmlns:a16="http://schemas.microsoft.com/office/drawing/2014/main" id="{461331CC-2C44-869C-A0E4-6F707334908D}"/>
            </a:ext>
          </a:extLst>
        </xdr:cNvPr>
        <xdr:cNvCxnSpPr/>
      </xdr:nvCxnSpPr>
      <xdr:spPr>
        <a:xfrm>
          <a:off x="13495011181" y="16778993"/>
          <a:ext cx="0" cy="28663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10</xdr:col>
      <xdr:colOff>546805</xdr:colOff>
      <xdr:row>209</xdr:row>
      <xdr:rowOff>4410</xdr:rowOff>
    </xdr:from>
    <xdr:to>
      <xdr:col>19</xdr:col>
      <xdr:colOff>692217</xdr:colOff>
      <xdr:row>211</xdr:row>
      <xdr:rowOff>6767</xdr:rowOff>
    </xdr:to>
    <xdr:pic>
      <xdr:nvPicPr>
        <xdr:cNvPr id="62" name="Picture 61">
          <a:extLst>
            <a:ext uri="{FF2B5EF4-FFF2-40B4-BE49-F238E27FC236}">
              <a16:creationId xmlns:a16="http://schemas.microsoft.com/office/drawing/2014/main" id="{8668E05B-1886-1FAE-B1BA-3F5E2608A8F8}"/>
            </a:ext>
          </a:extLst>
        </xdr:cNvPr>
        <xdr:cNvPicPr>
          <a:picLocks noChangeAspect="1"/>
        </xdr:cNvPicPr>
      </xdr:nvPicPr>
      <xdr:blipFill>
        <a:blip xmlns:r="http://schemas.openxmlformats.org/officeDocument/2006/relationships" r:embed="rId9"/>
        <a:stretch>
          <a:fillRect/>
        </a:stretch>
      </xdr:blipFill>
      <xdr:spPr>
        <a:xfrm>
          <a:off x="13494576558" y="16435035"/>
          <a:ext cx="7772400" cy="408051"/>
        </a:xfrm>
        <a:prstGeom prst="rect">
          <a:avLst/>
        </a:prstGeom>
      </xdr:spPr>
    </xdr:pic>
    <xdr:clientData/>
  </xdr:twoCellAnchor>
  <xdr:twoCellAnchor>
    <xdr:from>
      <xdr:col>17</xdr:col>
      <xdr:colOff>573264</xdr:colOff>
      <xdr:row>210</xdr:row>
      <xdr:rowOff>163160</xdr:rowOff>
    </xdr:from>
    <xdr:to>
      <xdr:col>17</xdr:col>
      <xdr:colOff>577673</xdr:colOff>
      <xdr:row>215</xdr:row>
      <xdr:rowOff>123473</xdr:rowOff>
    </xdr:to>
    <xdr:cxnSp macro="">
      <xdr:nvCxnSpPr>
        <xdr:cNvPr id="63" name="Straight Arrow Connector 62">
          <a:extLst>
            <a:ext uri="{FF2B5EF4-FFF2-40B4-BE49-F238E27FC236}">
              <a16:creationId xmlns:a16="http://schemas.microsoft.com/office/drawing/2014/main" id="{CAFF1873-FEFA-A3F8-A5B1-BEF98798DF92}"/>
            </a:ext>
          </a:extLst>
        </xdr:cNvPr>
        <xdr:cNvCxnSpPr/>
      </xdr:nvCxnSpPr>
      <xdr:spPr>
        <a:xfrm>
          <a:off x="13495946042" y="16796632"/>
          <a:ext cx="4409" cy="974549"/>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608542</xdr:colOff>
      <xdr:row>208</xdr:row>
      <xdr:rowOff>15436</xdr:rowOff>
    </xdr:from>
    <xdr:to>
      <xdr:col>17</xdr:col>
      <xdr:colOff>246946</xdr:colOff>
      <xdr:row>209</xdr:row>
      <xdr:rowOff>154341</xdr:rowOff>
    </xdr:to>
    <xdr:sp macro="" textlink="">
      <xdr:nvSpPr>
        <xdr:cNvPr id="65" name="Left Brace 64">
          <a:extLst>
            <a:ext uri="{FF2B5EF4-FFF2-40B4-BE49-F238E27FC236}">
              <a16:creationId xmlns:a16="http://schemas.microsoft.com/office/drawing/2014/main" id="{97446E2D-93D8-E660-98CC-49C43C7354F6}"/>
            </a:ext>
          </a:extLst>
        </xdr:cNvPr>
        <xdr:cNvSpPr/>
      </xdr:nvSpPr>
      <xdr:spPr>
        <a:xfrm rot="5400000">
          <a:off x="13498398949" y="14121034"/>
          <a:ext cx="341752" cy="4586112"/>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16</xdr:col>
      <xdr:colOff>599721</xdr:colOff>
      <xdr:row>210</xdr:row>
      <xdr:rowOff>97014</xdr:rowOff>
    </xdr:from>
    <xdr:to>
      <xdr:col>16</xdr:col>
      <xdr:colOff>599722</xdr:colOff>
      <xdr:row>212</xdr:row>
      <xdr:rowOff>136701</xdr:rowOff>
    </xdr:to>
    <xdr:cxnSp macro="">
      <xdr:nvCxnSpPr>
        <xdr:cNvPr id="66" name="Straight Arrow Connector 65">
          <a:extLst>
            <a:ext uri="{FF2B5EF4-FFF2-40B4-BE49-F238E27FC236}">
              <a16:creationId xmlns:a16="http://schemas.microsoft.com/office/drawing/2014/main" id="{2F52C099-258D-DAC9-A8CE-3A3157920B74}"/>
            </a:ext>
          </a:extLst>
        </xdr:cNvPr>
        <xdr:cNvCxnSpPr/>
      </xdr:nvCxnSpPr>
      <xdr:spPr>
        <a:xfrm flipH="1">
          <a:off x="13496748611" y="16730486"/>
          <a:ext cx="1" cy="4453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13</xdr:col>
      <xdr:colOff>418922</xdr:colOff>
      <xdr:row>210</xdr:row>
      <xdr:rowOff>145521</xdr:rowOff>
    </xdr:from>
    <xdr:to>
      <xdr:col>13</xdr:col>
      <xdr:colOff>418923</xdr:colOff>
      <xdr:row>212</xdr:row>
      <xdr:rowOff>185208</xdr:rowOff>
    </xdr:to>
    <xdr:cxnSp macro="">
      <xdr:nvCxnSpPr>
        <xdr:cNvPr id="68" name="Straight Arrow Connector 67">
          <a:extLst>
            <a:ext uri="{FF2B5EF4-FFF2-40B4-BE49-F238E27FC236}">
              <a16:creationId xmlns:a16="http://schemas.microsoft.com/office/drawing/2014/main" id="{60A44419-C85C-97B0-0225-65540EDE76A8}"/>
            </a:ext>
          </a:extLst>
        </xdr:cNvPr>
        <xdr:cNvCxnSpPr/>
      </xdr:nvCxnSpPr>
      <xdr:spPr>
        <a:xfrm flipH="1">
          <a:off x="13499403264" y="16778993"/>
          <a:ext cx="1" cy="44538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15</xdr:col>
      <xdr:colOff>542395</xdr:colOff>
      <xdr:row>210</xdr:row>
      <xdr:rowOff>132292</xdr:rowOff>
    </xdr:from>
    <xdr:to>
      <xdr:col>15</xdr:col>
      <xdr:colOff>551215</xdr:colOff>
      <xdr:row>215</xdr:row>
      <xdr:rowOff>39688</xdr:rowOff>
    </xdr:to>
    <xdr:cxnSp macro="">
      <xdr:nvCxnSpPr>
        <xdr:cNvPr id="69" name="Straight Arrow Connector 68">
          <a:extLst>
            <a:ext uri="{FF2B5EF4-FFF2-40B4-BE49-F238E27FC236}">
              <a16:creationId xmlns:a16="http://schemas.microsoft.com/office/drawing/2014/main" id="{EC44AF1A-951C-8F2C-BC2E-0297C6286893}"/>
            </a:ext>
          </a:extLst>
        </xdr:cNvPr>
        <xdr:cNvCxnSpPr/>
      </xdr:nvCxnSpPr>
      <xdr:spPr>
        <a:xfrm>
          <a:off x="13497621736" y="16765764"/>
          <a:ext cx="8820" cy="921632"/>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11</xdr:col>
      <xdr:colOff>740829</xdr:colOff>
      <xdr:row>210</xdr:row>
      <xdr:rowOff>28667</xdr:rowOff>
    </xdr:from>
    <xdr:to>
      <xdr:col>15</xdr:col>
      <xdr:colOff>83784</xdr:colOff>
      <xdr:row>210</xdr:row>
      <xdr:rowOff>194029</xdr:rowOff>
    </xdr:to>
    <xdr:sp macro="" textlink="">
      <xdr:nvSpPr>
        <xdr:cNvPr id="72" name="Left Brace 71">
          <a:extLst>
            <a:ext uri="{FF2B5EF4-FFF2-40B4-BE49-F238E27FC236}">
              <a16:creationId xmlns:a16="http://schemas.microsoft.com/office/drawing/2014/main" id="{D44DCFA2-3DF4-8D4F-BE75-AD7F8D634B3D}"/>
            </a:ext>
          </a:extLst>
        </xdr:cNvPr>
        <xdr:cNvSpPr/>
      </xdr:nvSpPr>
      <xdr:spPr>
        <a:xfrm rot="16200000">
          <a:off x="13499327200" y="15424106"/>
          <a:ext cx="165362" cy="264142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10</xdr:col>
      <xdr:colOff>1305277</xdr:colOff>
      <xdr:row>210</xdr:row>
      <xdr:rowOff>145521</xdr:rowOff>
    </xdr:from>
    <xdr:to>
      <xdr:col>10</xdr:col>
      <xdr:colOff>1314095</xdr:colOff>
      <xdr:row>216</xdr:row>
      <xdr:rowOff>17638</xdr:rowOff>
    </xdr:to>
    <xdr:cxnSp macro="">
      <xdr:nvCxnSpPr>
        <xdr:cNvPr id="73" name="Straight Arrow Connector 72">
          <a:extLst>
            <a:ext uri="{FF2B5EF4-FFF2-40B4-BE49-F238E27FC236}">
              <a16:creationId xmlns:a16="http://schemas.microsoft.com/office/drawing/2014/main" id="{5AD31BFC-646B-12D2-FEB5-370B76AE2B15}"/>
            </a:ext>
          </a:extLst>
        </xdr:cNvPr>
        <xdr:cNvCxnSpPr/>
      </xdr:nvCxnSpPr>
      <xdr:spPr>
        <a:xfrm>
          <a:off x="13501581668" y="16778993"/>
          <a:ext cx="8818" cy="1089201"/>
        </a:xfrm>
        <a:prstGeom prst="straightConnector1">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690485</xdr:colOff>
      <xdr:row>8</xdr:row>
      <xdr:rowOff>12330</xdr:rowOff>
    </xdr:from>
    <xdr:to>
      <xdr:col>5</xdr:col>
      <xdr:colOff>610407</xdr:colOff>
      <xdr:row>17</xdr:row>
      <xdr:rowOff>136370</xdr:rowOff>
    </xdr:to>
    <xdr:pic>
      <xdr:nvPicPr>
        <xdr:cNvPr id="2" name="Picture 1">
          <a:extLst>
            <a:ext uri="{FF2B5EF4-FFF2-40B4-BE49-F238E27FC236}">
              <a16:creationId xmlns:a16="http://schemas.microsoft.com/office/drawing/2014/main" id="{DF75E6E9-5128-F343-BAD2-D15C0ED55580}"/>
            </a:ext>
          </a:extLst>
        </xdr:cNvPr>
        <xdr:cNvPicPr>
          <a:picLocks noChangeAspect="1"/>
        </xdr:cNvPicPr>
      </xdr:nvPicPr>
      <xdr:blipFill>
        <a:blip xmlns:r="http://schemas.openxmlformats.org/officeDocument/2006/relationships" r:embed="rId1"/>
        <a:stretch>
          <a:fillRect/>
        </a:stretch>
      </xdr:blipFill>
      <xdr:spPr>
        <a:xfrm>
          <a:off x="13520254093" y="1637930"/>
          <a:ext cx="3221922" cy="1952840"/>
        </a:xfrm>
        <a:prstGeom prst="rect">
          <a:avLst/>
        </a:prstGeom>
      </xdr:spPr>
    </xdr:pic>
    <xdr:clientData/>
  </xdr:twoCellAnchor>
  <xdr:twoCellAnchor>
    <xdr:from>
      <xdr:col>0</xdr:col>
      <xdr:colOff>98641</xdr:colOff>
      <xdr:row>8</xdr:row>
      <xdr:rowOff>110971</xdr:rowOff>
    </xdr:from>
    <xdr:to>
      <xdr:col>1</xdr:col>
      <xdr:colOff>641165</xdr:colOff>
      <xdr:row>10</xdr:row>
      <xdr:rowOff>55486</xdr:rowOff>
    </xdr:to>
    <xdr:sp macro="" textlink="">
      <xdr:nvSpPr>
        <xdr:cNvPr id="3" name="Rounded Rectangular Callout 2">
          <a:extLst>
            <a:ext uri="{FF2B5EF4-FFF2-40B4-BE49-F238E27FC236}">
              <a16:creationId xmlns:a16="http://schemas.microsoft.com/office/drawing/2014/main" id="{66945FDA-2EA5-5844-B00E-5D94241A569B}"/>
            </a:ext>
          </a:extLst>
        </xdr:cNvPr>
        <xdr:cNvSpPr/>
      </xdr:nvSpPr>
      <xdr:spPr>
        <a:xfrm>
          <a:off x="13523525335" y="1736571"/>
          <a:ext cx="1368024" cy="350915"/>
        </a:xfrm>
        <a:prstGeom prst="wedgeRoundRectCallout">
          <a:avLst>
            <a:gd name="adj1" fmla="val -83896"/>
            <a:gd name="adj2" fmla="val 214466"/>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latin typeface="David" panose="020E0502060401010101" pitchFamily="34" charset="-79"/>
              <a:cs typeface="David" panose="020E0502060401010101" pitchFamily="34" charset="-79"/>
            </a:rPr>
            <a:t>אביב</a:t>
          </a:r>
          <a:r>
            <a:rPr lang="he-IL" sz="1100" baseline="0">
              <a:latin typeface="David" panose="020E0502060401010101" pitchFamily="34" charset="-79"/>
              <a:cs typeface="David" panose="020E0502060401010101" pitchFamily="34" charset="-79"/>
            </a:rPr>
            <a:t> היום </a:t>
          </a:r>
          <a:r>
            <a:rPr lang="en-US" sz="1100" baseline="0">
              <a:latin typeface="David" panose="020E0502060401010101" pitchFamily="34" charset="-79"/>
              <a:cs typeface="David" panose="020E0502060401010101" pitchFamily="34" charset="-79"/>
            </a:rPr>
            <a:t>IAS 37</a:t>
          </a:r>
          <a:endParaRPr lang="en-US" sz="1100">
            <a:latin typeface="David" panose="020E0502060401010101" pitchFamily="34" charset="-79"/>
            <a:cs typeface="David" panose="020E0502060401010101" pitchFamily="34" charset="-79"/>
          </a:endParaRPr>
        </a:p>
      </xdr:txBody>
    </xdr:sp>
    <xdr:clientData/>
  </xdr:twoCellAnchor>
  <xdr:twoCellAnchor>
    <xdr:from>
      <xdr:col>5</xdr:col>
      <xdr:colOff>696650</xdr:colOff>
      <xdr:row>14</xdr:row>
      <xdr:rowOff>67816</xdr:rowOff>
    </xdr:from>
    <xdr:to>
      <xdr:col>7</xdr:col>
      <xdr:colOff>413058</xdr:colOff>
      <xdr:row>17</xdr:row>
      <xdr:rowOff>30826</xdr:rowOff>
    </xdr:to>
    <xdr:sp macro="" textlink="">
      <xdr:nvSpPr>
        <xdr:cNvPr id="4" name="Rounded Rectangular Callout 3">
          <a:extLst>
            <a:ext uri="{FF2B5EF4-FFF2-40B4-BE49-F238E27FC236}">
              <a16:creationId xmlns:a16="http://schemas.microsoft.com/office/drawing/2014/main" id="{01D3077F-BDF7-B04F-A2D3-AA9C607B9E53}"/>
            </a:ext>
          </a:extLst>
        </xdr:cNvPr>
        <xdr:cNvSpPr/>
      </xdr:nvSpPr>
      <xdr:spPr>
        <a:xfrm>
          <a:off x="13518800442" y="2912616"/>
          <a:ext cx="1367408" cy="572610"/>
        </a:xfrm>
        <a:prstGeom prst="wedgeRoundRectCallout">
          <a:avLst>
            <a:gd name="adj1" fmla="val 68807"/>
            <a:gd name="adj2" fmla="val 2186"/>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latin typeface="David" panose="020E0502060401010101" pitchFamily="34" charset="-79"/>
              <a:cs typeface="David" panose="020E0502060401010101" pitchFamily="34" charset="-79"/>
            </a:rPr>
            <a:t>תאחל להם הצלחה בשמי</a:t>
          </a:r>
          <a:endParaRPr lang="en-US" sz="1100">
            <a:latin typeface="David" panose="020E0502060401010101" pitchFamily="34" charset="-79"/>
            <a:cs typeface="David" panose="020E0502060401010101" pitchFamily="34" charset="-79"/>
          </a:endParaRPr>
        </a:p>
      </xdr:txBody>
    </xdr:sp>
    <xdr:clientData/>
  </xdr:twoCellAnchor>
  <xdr:twoCellAnchor editAs="oneCell">
    <xdr:from>
      <xdr:col>0</xdr:col>
      <xdr:colOff>245916</xdr:colOff>
      <xdr:row>173</xdr:row>
      <xdr:rowOff>175374</xdr:rowOff>
    </xdr:from>
    <xdr:to>
      <xdr:col>7</xdr:col>
      <xdr:colOff>716533</xdr:colOff>
      <xdr:row>202</xdr:row>
      <xdr:rowOff>14886</xdr:rowOff>
    </xdr:to>
    <xdr:pic>
      <xdr:nvPicPr>
        <xdr:cNvPr id="5" name="Picture 4">
          <a:extLst>
            <a:ext uri="{FF2B5EF4-FFF2-40B4-BE49-F238E27FC236}">
              <a16:creationId xmlns:a16="http://schemas.microsoft.com/office/drawing/2014/main" id="{B08DD1E0-8873-B0F8-6E86-929282618878}"/>
            </a:ext>
          </a:extLst>
        </xdr:cNvPr>
        <xdr:cNvPicPr>
          <a:picLocks noChangeAspect="1"/>
        </xdr:cNvPicPr>
      </xdr:nvPicPr>
      <xdr:blipFill>
        <a:blip xmlns:r="http://schemas.openxmlformats.org/officeDocument/2006/relationships" r:embed="rId2"/>
        <a:stretch>
          <a:fillRect/>
        </a:stretch>
      </xdr:blipFill>
      <xdr:spPr>
        <a:xfrm>
          <a:off x="13515738507" y="35223332"/>
          <a:ext cx="6247938" cy="5701050"/>
        </a:xfrm>
        <a:prstGeom prst="rect">
          <a:avLst/>
        </a:prstGeom>
      </xdr:spPr>
    </xdr:pic>
    <xdr:clientData/>
  </xdr:twoCellAnchor>
  <xdr:twoCellAnchor editAs="oneCell">
    <xdr:from>
      <xdr:col>0</xdr:col>
      <xdr:colOff>104776</xdr:colOff>
      <xdr:row>61</xdr:row>
      <xdr:rowOff>79375</xdr:rowOff>
    </xdr:from>
    <xdr:to>
      <xdr:col>4</xdr:col>
      <xdr:colOff>587375</xdr:colOff>
      <xdr:row>74</xdr:row>
      <xdr:rowOff>20330</xdr:rowOff>
    </xdr:to>
    <xdr:pic>
      <xdr:nvPicPr>
        <xdr:cNvPr id="6" name="Picture 5">
          <a:extLst>
            <a:ext uri="{FF2B5EF4-FFF2-40B4-BE49-F238E27FC236}">
              <a16:creationId xmlns:a16="http://schemas.microsoft.com/office/drawing/2014/main" id="{6A5BCEC9-7544-0D5D-C024-7B3B4CA9AFC4}"/>
            </a:ext>
          </a:extLst>
        </xdr:cNvPr>
        <xdr:cNvPicPr>
          <a:picLocks noChangeAspect="1"/>
        </xdr:cNvPicPr>
      </xdr:nvPicPr>
      <xdr:blipFill>
        <a:blip xmlns:r="http://schemas.openxmlformats.org/officeDocument/2006/relationships" r:embed="rId3"/>
        <a:stretch>
          <a:fillRect/>
        </a:stretch>
      </xdr:blipFill>
      <xdr:spPr>
        <a:xfrm>
          <a:off x="13521102625" y="12550775"/>
          <a:ext cx="3784599" cy="2582555"/>
        </a:xfrm>
        <a:prstGeom prst="rect">
          <a:avLst/>
        </a:prstGeom>
      </xdr:spPr>
    </xdr:pic>
    <xdr:clientData/>
  </xdr:twoCellAnchor>
  <xdr:twoCellAnchor editAs="oneCell">
    <xdr:from>
      <xdr:col>4</xdr:col>
      <xdr:colOff>712778</xdr:colOff>
      <xdr:row>68</xdr:row>
      <xdr:rowOff>194622</xdr:rowOff>
    </xdr:from>
    <xdr:to>
      <xdr:col>5</xdr:col>
      <xdr:colOff>776680</xdr:colOff>
      <xdr:row>73</xdr:row>
      <xdr:rowOff>135905</xdr:rowOff>
    </xdr:to>
    <xdr:pic>
      <xdr:nvPicPr>
        <xdr:cNvPr id="7" name="Picture 6">
          <a:extLst>
            <a:ext uri="{FF2B5EF4-FFF2-40B4-BE49-F238E27FC236}">
              <a16:creationId xmlns:a16="http://schemas.microsoft.com/office/drawing/2014/main" id="{602E0D70-5687-2162-7DE6-CF2C7FF3895E}"/>
            </a:ext>
          </a:extLst>
        </xdr:cNvPr>
        <xdr:cNvPicPr>
          <a:picLocks noChangeAspect="1"/>
        </xdr:cNvPicPr>
      </xdr:nvPicPr>
      <xdr:blipFill>
        <a:blip xmlns:r="http://schemas.openxmlformats.org/officeDocument/2006/relationships" r:embed="rId4"/>
        <a:stretch>
          <a:fillRect/>
        </a:stretch>
      </xdr:blipFill>
      <xdr:spPr>
        <a:xfrm>
          <a:off x="13506580462" y="14161323"/>
          <a:ext cx="888578" cy="963881"/>
        </a:xfrm>
        <a:prstGeom prst="rect">
          <a:avLst/>
        </a:prstGeom>
      </xdr:spPr>
    </xdr:pic>
    <xdr:clientData/>
  </xdr:twoCellAnchor>
  <xdr:twoCellAnchor>
    <xdr:from>
      <xdr:col>5</xdr:col>
      <xdr:colOff>3298</xdr:colOff>
      <xdr:row>61</xdr:row>
      <xdr:rowOff>85766</xdr:rowOff>
    </xdr:from>
    <xdr:to>
      <xdr:col>5</xdr:col>
      <xdr:colOff>705921</xdr:colOff>
      <xdr:row>68</xdr:row>
      <xdr:rowOff>79169</xdr:rowOff>
    </xdr:to>
    <xdr:sp macro="" textlink="">
      <xdr:nvSpPr>
        <xdr:cNvPr id="8" name="Rounded Rectangular Callout 7">
          <a:extLst>
            <a:ext uri="{FF2B5EF4-FFF2-40B4-BE49-F238E27FC236}">
              <a16:creationId xmlns:a16="http://schemas.microsoft.com/office/drawing/2014/main" id="{9508BF38-52C9-C9E1-FF0C-8B60D87623EA}"/>
            </a:ext>
          </a:extLst>
        </xdr:cNvPr>
        <xdr:cNvSpPr/>
      </xdr:nvSpPr>
      <xdr:spPr>
        <a:xfrm>
          <a:off x="13506651221" y="12620831"/>
          <a:ext cx="702623" cy="1425039"/>
        </a:xfrm>
        <a:prstGeom prst="wedgeRoundRectCallou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800"/>
            <a:t>כדי להבין מהי התחייבות</a:t>
          </a:r>
          <a:r>
            <a:rPr lang="he-IL" sz="800" baseline="0"/>
            <a:t> תלויה צריך להבין בתור התחלה מהי התחייבות בכלל ואת סוגיה</a:t>
          </a:r>
          <a:endParaRPr lang="en-US" sz="800"/>
        </a:p>
      </xdr:txBody>
    </xdr:sp>
    <xdr:clientData/>
  </xdr:twoCellAnchor>
  <xdr:twoCellAnchor editAs="oneCell">
    <xdr:from>
      <xdr:col>0</xdr:col>
      <xdr:colOff>35278</xdr:colOff>
      <xdr:row>76</xdr:row>
      <xdr:rowOff>49298</xdr:rowOff>
    </xdr:from>
    <xdr:to>
      <xdr:col>3</xdr:col>
      <xdr:colOff>474646</xdr:colOff>
      <xdr:row>90</xdr:row>
      <xdr:rowOff>160073</xdr:rowOff>
    </xdr:to>
    <xdr:pic>
      <xdr:nvPicPr>
        <xdr:cNvPr id="9" name="Picture 8">
          <a:extLst>
            <a:ext uri="{FF2B5EF4-FFF2-40B4-BE49-F238E27FC236}">
              <a16:creationId xmlns:a16="http://schemas.microsoft.com/office/drawing/2014/main" id="{3D9D5069-8303-BC71-0427-E3C4497B9B1E}"/>
            </a:ext>
          </a:extLst>
        </xdr:cNvPr>
        <xdr:cNvPicPr>
          <a:picLocks noChangeAspect="1"/>
        </xdr:cNvPicPr>
      </xdr:nvPicPr>
      <xdr:blipFill>
        <a:blip xmlns:r="http://schemas.openxmlformats.org/officeDocument/2006/relationships" r:embed="rId5"/>
        <a:stretch>
          <a:fillRect/>
        </a:stretch>
      </xdr:blipFill>
      <xdr:spPr>
        <a:xfrm>
          <a:off x="13501026843" y="15481722"/>
          <a:ext cx="2912020" cy="2939412"/>
        </a:xfrm>
        <a:prstGeom prst="rect">
          <a:avLst/>
        </a:prstGeom>
      </xdr:spPr>
    </xdr:pic>
    <xdr:clientData/>
  </xdr:twoCellAnchor>
  <xdr:twoCellAnchor editAs="oneCell">
    <xdr:from>
      <xdr:col>0</xdr:col>
      <xdr:colOff>10798</xdr:colOff>
      <xdr:row>92</xdr:row>
      <xdr:rowOff>103547</xdr:rowOff>
    </xdr:from>
    <xdr:to>
      <xdr:col>4</xdr:col>
      <xdr:colOff>368812</xdr:colOff>
      <xdr:row>104</xdr:row>
      <xdr:rowOff>119470</xdr:rowOff>
    </xdr:to>
    <xdr:pic>
      <xdr:nvPicPr>
        <xdr:cNvPr id="10" name="Picture 9">
          <a:extLst>
            <a:ext uri="{FF2B5EF4-FFF2-40B4-BE49-F238E27FC236}">
              <a16:creationId xmlns:a16="http://schemas.microsoft.com/office/drawing/2014/main" id="{20DABB7C-7CFA-7FC7-02B5-34293923C07D}"/>
            </a:ext>
          </a:extLst>
        </xdr:cNvPr>
        <xdr:cNvPicPr>
          <a:picLocks noChangeAspect="1"/>
        </xdr:cNvPicPr>
      </xdr:nvPicPr>
      <xdr:blipFill>
        <a:blip xmlns:r="http://schemas.openxmlformats.org/officeDocument/2006/relationships" r:embed="rId6"/>
        <a:stretch>
          <a:fillRect/>
        </a:stretch>
      </xdr:blipFill>
      <xdr:spPr>
        <a:xfrm>
          <a:off x="13500308460" y="18768699"/>
          <a:ext cx="3654883" cy="2440468"/>
        </a:xfrm>
        <a:prstGeom prst="rect">
          <a:avLst/>
        </a:prstGeom>
      </xdr:spPr>
    </xdr:pic>
    <xdr:clientData/>
  </xdr:twoCellAnchor>
  <xdr:twoCellAnchor editAs="oneCell">
    <xdr:from>
      <xdr:col>0</xdr:col>
      <xdr:colOff>1</xdr:colOff>
      <xdr:row>105</xdr:row>
      <xdr:rowOff>86945</xdr:rowOff>
    </xdr:from>
    <xdr:to>
      <xdr:col>4</xdr:col>
      <xdr:colOff>485776</xdr:colOff>
      <xdr:row>116</xdr:row>
      <xdr:rowOff>17929</xdr:rowOff>
    </xdr:to>
    <xdr:pic>
      <xdr:nvPicPr>
        <xdr:cNvPr id="11" name="Picture 10">
          <a:extLst>
            <a:ext uri="{FF2B5EF4-FFF2-40B4-BE49-F238E27FC236}">
              <a16:creationId xmlns:a16="http://schemas.microsoft.com/office/drawing/2014/main" id="{5A57BB07-CD33-6300-56D9-16C6B2EAA099}"/>
            </a:ext>
          </a:extLst>
        </xdr:cNvPr>
        <xdr:cNvPicPr>
          <a:picLocks noChangeAspect="1"/>
        </xdr:cNvPicPr>
      </xdr:nvPicPr>
      <xdr:blipFill>
        <a:blip xmlns:r="http://schemas.openxmlformats.org/officeDocument/2006/relationships" r:embed="rId7"/>
        <a:stretch>
          <a:fillRect/>
        </a:stretch>
      </xdr:blipFill>
      <xdr:spPr>
        <a:xfrm>
          <a:off x="13521204224" y="21499145"/>
          <a:ext cx="3787775" cy="2166184"/>
        </a:xfrm>
        <a:prstGeom prst="rect">
          <a:avLst/>
        </a:prstGeom>
      </xdr:spPr>
    </xdr:pic>
    <xdr:clientData/>
  </xdr:twoCellAnchor>
  <xdr:twoCellAnchor editAs="oneCell">
    <xdr:from>
      <xdr:col>0</xdr:col>
      <xdr:colOff>31751</xdr:colOff>
      <xdr:row>116</xdr:row>
      <xdr:rowOff>200025</xdr:rowOff>
    </xdr:from>
    <xdr:to>
      <xdr:col>4</xdr:col>
      <xdr:colOff>563019</xdr:colOff>
      <xdr:row>127</xdr:row>
      <xdr:rowOff>139700</xdr:rowOff>
    </xdr:to>
    <xdr:pic>
      <xdr:nvPicPr>
        <xdr:cNvPr id="12" name="Picture 11">
          <a:extLst>
            <a:ext uri="{FF2B5EF4-FFF2-40B4-BE49-F238E27FC236}">
              <a16:creationId xmlns:a16="http://schemas.microsoft.com/office/drawing/2014/main" id="{A2B95875-270E-3DDE-6281-EC61684C9F41}"/>
            </a:ext>
          </a:extLst>
        </xdr:cNvPr>
        <xdr:cNvPicPr>
          <a:picLocks noChangeAspect="1"/>
        </xdr:cNvPicPr>
      </xdr:nvPicPr>
      <xdr:blipFill>
        <a:blip xmlns:r="http://schemas.openxmlformats.org/officeDocument/2006/relationships" r:embed="rId8"/>
        <a:stretch>
          <a:fillRect/>
        </a:stretch>
      </xdr:blipFill>
      <xdr:spPr>
        <a:xfrm>
          <a:off x="13521126981" y="23847425"/>
          <a:ext cx="3833268" cy="2174875"/>
        </a:xfrm>
        <a:prstGeom prst="rect">
          <a:avLst/>
        </a:prstGeom>
      </xdr:spPr>
    </xdr:pic>
    <xdr:clientData/>
  </xdr:twoCellAnchor>
  <xdr:twoCellAnchor editAs="oneCell">
    <xdr:from>
      <xdr:col>0</xdr:col>
      <xdr:colOff>0</xdr:colOff>
      <xdr:row>130</xdr:row>
      <xdr:rowOff>60325</xdr:rowOff>
    </xdr:from>
    <xdr:to>
      <xdr:col>5</xdr:col>
      <xdr:colOff>124351</xdr:colOff>
      <xdr:row>148</xdr:row>
      <xdr:rowOff>3343</xdr:rowOff>
    </xdr:to>
    <xdr:pic>
      <xdr:nvPicPr>
        <xdr:cNvPr id="13" name="Picture 12">
          <a:extLst>
            <a:ext uri="{FF2B5EF4-FFF2-40B4-BE49-F238E27FC236}">
              <a16:creationId xmlns:a16="http://schemas.microsoft.com/office/drawing/2014/main" id="{67B7DCCB-0035-1629-4DC8-9F471360EFCA}"/>
            </a:ext>
          </a:extLst>
        </xdr:cNvPr>
        <xdr:cNvPicPr>
          <a:picLocks noChangeAspect="1"/>
        </xdr:cNvPicPr>
      </xdr:nvPicPr>
      <xdr:blipFill>
        <a:blip xmlns:r="http://schemas.openxmlformats.org/officeDocument/2006/relationships" r:embed="rId9"/>
        <a:stretch>
          <a:fillRect/>
        </a:stretch>
      </xdr:blipFill>
      <xdr:spPr>
        <a:xfrm>
          <a:off x="13520740149" y="26552525"/>
          <a:ext cx="4251851" cy="3600618"/>
        </a:xfrm>
        <a:prstGeom prst="rect">
          <a:avLst/>
        </a:prstGeom>
      </xdr:spPr>
    </xdr:pic>
    <xdr:clientData/>
  </xdr:twoCellAnchor>
  <xdr:twoCellAnchor editAs="oneCell">
    <xdr:from>
      <xdr:col>0</xdr:col>
      <xdr:colOff>6737</xdr:colOff>
      <xdr:row>149</xdr:row>
      <xdr:rowOff>192015</xdr:rowOff>
    </xdr:from>
    <xdr:to>
      <xdr:col>5</xdr:col>
      <xdr:colOff>221968</xdr:colOff>
      <xdr:row>169</xdr:row>
      <xdr:rowOff>80667</xdr:rowOff>
    </xdr:to>
    <xdr:pic>
      <xdr:nvPicPr>
        <xdr:cNvPr id="14" name="Picture 13">
          <a:extLst>
            <a:ext uri="{FF2B5EF4-FFF2-40B4-BE49-F238E27FC236}">
              <a16:creationId xmlns:a16="http://schemas.microsoft.com/office/drawing/2014/main" id="{CA55003A-7E7D-7579-C494-6D5B4F58F081}"/>
            </a:ext>
          </a:extLst>
        </xdr:cNvPr>
        <xdr:cNvPicPr>
          <a:picLocks noChangeAspect="1"/>
        </xdr:cNvPicPr>
      </xdr:nvPicPr>
      <xdr:blipFill>
        <a:blip xmlns:r="http://schemas.openxmlformats.org/officeDocument/2006/relationships" r:embed="rId10"/>
        <a:stretch>
          <a:fillRect/>
        </a:stretch>
      </xdr:blipFill>
      <xdr:spPr>
        <a:xfrm>
          <a:off x="13517883735" y="30389044"/>
          <a:ext cx="4341889" cy="3931092"/>
        </a:xfrm>
        <a:prstGeom prst="rect">
          <a:avLst/>
        </a:prstGeom>
      </xdr:spPr>
    </xdr:pic>
    <xdr:clientData/>
  </xdr:twoCellAnchor>
  <xdr:twoCellAnchor>
    <xdr:from>
      <xdr:col>6</xdr:col>
      <xdr:colOff>728968</xdr:colOff>
      <xdr:row>283</xdr:row>
      <xdr:rowOff>0</xdr:rowOff>
    </xdr:from>
    <xdr:to>
      <xdr:col>7</xdr:col>
      <xdr:colOff>130987</xdr:colOff>
      <xdr:row>284</xdr:row>
      <xdr:rowOff>91121</xdr:rowOff>
    </xdr:to>
    <xdr:cxnSp macro="">
      <xdr:nvCxnSpPr>
        <xdr:cNvPr id="15" name="Straight Arrow Connector 14">
          <a:extLst>
            <a:ext uri="{FF2B5EF4-FFF2-40B4-BE49-F238E27FC236}">
              <a16:creationId xmlns:a16="http://schemas.microsoft.com/office/drawing/2014/main" id="{CF476F2F-EED9-E74B-A8AA-C1308303EFC8}"/>
            </a:ext>
          </a:extLst>
        </xdr:cNvPr>
        <xdr:cNvCxnSpPr/>
      </xdr:nvCxnSpPr>
      <xdr:spPr>
        <a:xfrm flipH="1">
          <a:off x="13519082513" y="52705000"/>
          <a:ext cx="227519" cy="2943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131862</xdr:colOff>
      <xdr:row>283</xdr:row>
      <xdr:rowOff>14823</xdr:rowOff>
    </xdr:from>
    <xdr:to>
      <xdr:col>6</xdr:col>
      <xdr:colOff>137297</xdr:colOff>
      <xdr:row>284</xdr:row>
      <xdr:rowOff>61784</xdr:rowOff>
    </xdr:to>
    <xdr:cxnSp macro="">
      <xdr:nvCxnSpPr>
        <xdr:cNvPr id="16" name="Straight Arrow Connector 15">
          <a:extLst>
            <a:ext uri="{FF2B5EF4-FFF2-40B4-BE49-F238E27FC236}">
              <a16:creationId xmlns:a16="http://schemas.microsoft.com/office/drawing/2014/main" id="{DD719DA1-53BA-BA4E-B25C-97D70B4C5E61}"/>
            </a:ext>
          </a:extLst>
        </xdr:cNvPr>
        <xdr:cNvCxnSpPr/>
      </xdr:nvCxnSpPr>
      <xdr:spPr>
        <a:xfrm flipH="1">
          <a:off x="13519901703" y="52719823"/>
          <a:ext cx="5435" cy="2501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774528</xdr:colOff>
      <xdr:row>301</xdr:row>
      <xdr:rowOff>71001</xdr:rowOff>
    </xdr:from>
    <xdr:to>
      <xdr:col>5</xdr:col>
      <xdr:colOff>599034</xdr:colOff>
      <xdr:row>314</xdr:row>
      <xdr:rowOff>176678</xdr:rowOff>
    </xdr:to>
    <xdr:pic>
      <xdr:nvPicPr>
        <xdr:cNvPr id="17" name="Picture 16">
          <a:extLst>
            <a:ext uri="{FF2B5EF4-FFF2-40B4-BE49-F238E27FC236}">
              <a16:creationId xmlns:a16="http://schemas.microsoft.com/office/drawing/2014/main" id="{429E62EC-EF1B-2F47-863D-F9A4B209952A}"/>
            </a:ext>
          </a:extLst>
        </xdr:cNvPr>
        <xdr:cNvPicPr>
          <a:picLocks noChangeAspect="1"/>
        </xdr:cNvPicPr>
      </xdr:nvPicPr>
      <xdr:blipFill>
        <a:blip xmlns:r="http://schemas.openxmlformats.org/officeDocument/2006/relationships" r:embed="rId11"/>
        <a:stretch>
          <a:fillRect/>
        </a:stretch>
      </xdr:blipFill>
      <xdr:spPr>
        <a:xfrm>
          <a:off x="13520633766" y="56433601"/>
          <a:ext cx="3126506" cy="2747277"/>
        </a:xfrm>
        <a:prstGeom prst="rect">
          <a:avLst/>
        </a:prstGeom>
      </xdr:spPr>
    </xdr:pic>
    <xdr:clientData/>
  </xdr:twoCellAnchor>
  <xdr:twoCellAnchor>
    <xdr:from>
      <xdr:col>4</xdr:col>
      <xdr:colOff>714603</xdr:colOff>
      <xdr:row>301</xdr:row>
      <xdr:rowOff>112037</xdr:rowOff>
    </xdr:from>
    <xdr:to>
      <xdr:col>7</xdr:col>
      <xdr:colOff>127000</xdr:colOff>
      <xdr:row>304</xdr:row>
      <xdr:rowOff>171451</xdr:rowOff>
    </xdr:to>
    <xdr:sp macro="" textlink="">
      <xdr:nvSpPr>
        <xdr:cNvPr id="18" name="Rounded Rectangular Callout 17">
          <a:extLst>
            <a:ext uri="{FF2B5EF4-FFF2-40B4-BE49-F238E27FC236}">
              <a16:creationId xmlns:a16="http://schemas.microsoft.com/office/drawing/2014/main" id="{D1D3E8C9-6EEB-EC40-9924-98BD75858ED0}"/>
            </a:ext>
          </a:extLst>
        </xdr:cNvPr>
        <xdr:cNvSpPr/>
      </xdr:nvSpPr>
      <xdr:spPr>
        <a:xfrm>
          <a:off x="13519086500" y="61351437"/>
          <a:ext cx="1888897" cy="669014"/>
        </a:xfrm>
        <a:prstGeom prst="wedgeRoundRectCallout">
          <a:avLst>
            <a:gd name="adj1" fmla="val 73630"/>
            <a:gd name="adj2" fmla="val 51118"/>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רגע, שי, אתה אומר שבעסקת אחריות מורחבת צריך להקצות חלק מהתמורה באופן יחסי לרכיב האחריות.שהוא התחייבות ולא הכנסה מיידית</a:t>
          </a:r>
          <a:endParaRPr lang="en-US" sz="800"/>
        </a:p>
      </xdr:txBody>
    </xdr:sp>
    <xdr:clientData/>
  </xdr:twoCellAnchor>
  <xdr:twoCellAnchor>
    <xdr:from>
      <xdr:col>4</xdr:col>
      <xdr:colOff>818951</xdr:colOff>
      <xdr:row>306</xdr:row>
      <xdr:rowOff>152101</xdr:rowOff>
    </xdr:from>
    <xdr:to>
      <xdr:col>7</xdr:col>
      <xdr:colOff>90266</xdr:colOff>
      <xdr:row>310</xdr:row>
      <xdr:rowOff>34328</xdr:rowOff>
    </xdr:to>
    <xdr:sp macro="" textlink="">
      <xdr:nvSpPr>
        <xdr:cNvPr id="19" name="Rounded Rectangular Callout 18">
          <a:extLst>
            <a:ext uri="{FF2B5EF4-FFF2-40B4-BE49-F238E27FC236}">
              <a16:creationId xmlns:a16="http://schemas.microsoft.com/office/drawing/2014/main" id="{F7AF2E40-5465-A647-A28F-5F98EC474702}"/>
            </a:ext>
          </a:extLst>
        </xdr:cNvPr>
        <xdr:cNvSpPr/>
      </xdr:nvSpPr>
      <xdr:spPr>
        <a:xfrm>
          <a:off x="13519123234" y="62407501"/>
          <a:ext cx="1747815" cy="695027"/>
        </a:xfrm>
        <a:prstGeom prst="wedgeRoundRectCallout">
          <a:avLst>
            <a:gd name="adj1" fmla="val 72653"/>
            <a:gd name="adj2" fmla="val -9857"/>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אם זה כך, מדוע בעסקת אחריות רגילה לא מצאנו רכיב אחריות יחסי והקצנו את כל ה-1,000, ללא הפרדה, להכנסה מקורקינט?</a:t>
          </a:r>
          <a:endParaRPr lang="en-US" sz="800"/>
        </a:p>
      </xdr:txBody>
    </xdr:sp>
    <xdr:clientData/>
  </xdr:twoCellAnchor>
  <xdr:twoCellAnchor>
    <xdr:from>
      <xdr:col>3</xdr:col>
      <xdr:colOff>403225</xdr:colOff>
      <xdr:row>305</xdr:row>
      <xdr:rowOff>189249</xdr:rowOff>
    </xdr:from>
    <xdr:to>
      <xdr:col>4</xdr:col>
      <xdr:colOff>303333</xdr:colOff>
      <xdr:row>309</xdr:row>
      <xdr:rowOff>8827</xdr:rowOff>
    </xdr:to>
    <xdr:sp macro="" textlink="">
      <xdr:nvSpPr>
        <xdr:cNvPr id="20" name="Rectangle 19">
          <a:extLst>
            <a:ext uri="{FF2B5EF4-FFF2-40B4-BE49-F238E27FC236}">
              <a16:creationId xmlns:a16="http://schemas.microsoft.com/office/drawing/2014/main" id="{8CEA252C-30C9-2B4D-92CE-E928EF402140}"/>
            </a:ext>
          </a:extLst>
        </xdr:cNvPr>
        <xdr:cNvSpPr/>
      </xdr:nvSpPr>
      <xdr:spPr>
        <a:xfrm>
          <a:off x="13521386667" y="62241449"/>
          <a:ext cx="725608" cy="6323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900"/>
            <a:t>אין עסקה מקבילה נפרדת</a:t>
          </a:r>
          <a:r>
            <a:rPr lang="he-IL" sz="900" baseline="0"/>
            <a:t> אין פיצול</a:t>
          </a:r>
          <a:endParaRPr lang="en-US" sz="900"/>
        </a:p>
      </xdr:txBody>
    </xdr:sp>
    <xdr:clientData/>
  </xdr:twoCellAnchor>
  <xdr:twoCellAnchor editAs="oneCell">
    <xdr:from>
      <xdr:col>0</xdr:col>
      <xdr:colOff>182242</xdr:colOff>
      <xdr:row>375</xdr:row>
      <xdr:rowOff>59860</xdr:rowOff>
    </xdr:from>
    <xdr:to>
      <xdr:col>5</xdr:col>
      <xdr:colOff>252862</xdr:colOff>
      <xdr:row>381</xdr:row>
      <xdr:rowOff>77225</xdr:rowOff>
    </xdr:to>
    <xdr:pic>
      <xdr:nvPicPr>
        <xdr:cNvPr id="21" name="Picture 20">
          <a:extLst>
            <a:ext uri="{FF2B5EF4-FFF2-40B4-BE49-F238E27FC236}">
              <a16:creationId xmlns:a16="http://schemas.microsoft.com/office/drawing/2014/main" id="{8E00DF06-CBF0-1B41-964A-5BC7A75A6D51}"/>
            </a:ext>
          </a:extLst>
        </xdr:cNvPr>
        <xdr:cNvPicPr>
          <a:picLocks noChangeAspect="1"/>
        </xdr:cNvPicPr>
      </xdr:nvPicPr>
      <xdr:blipFill>
        <a:blip xmlns:r="http://schemas.openxmlformats.org/officeDocument/2006/relationships" r:embed="rId12"/>
        <a:stretch>
          <a:fillRect/>
        </a:stretch>
      </xdr:blipFill>
      <xdr:spPr>
        <a:xfrm>
          <a:off x="13520979938" y="71510060"/>
          <a:ext cx="4198120" cy="1236565"/>
        </a:xfrm>
        <a:prstGeom prst="rect">
          <a:avLst/>
        </a:prstGeom>
      </xdr:spPr>
    </xdr:pic>
    <xdr:clientData/>
  </xdr:twoCellAnchor>
  <xdr:twoCellAnchor editAs="oneCell">
    <xdr:from>
      <xdr:col>0</xdr:col>
      <xdr:colOff>728968</xdr:colOff>
      <xdr:row>402</xdr:row>
      <xdr:rowOff>149608</xdr:rowOff>
    </xdr:from>
    <xdr:to>
      <xdr:col>6</xdr:col>
      <xdr:colOff>681415</xdr:colOff>
      <xdr:row>412</xdr:row>
      <xdr:rowOff>124491</xdr:rowOff>
    </xdr:to>
    <xdr:pic>
      <xdr:nvPicPr>
        <xdr:cNvPr id="22" name="Picture 21">
          <a:extLst>
            <a:ext uri="{FF2B5EF4-FFF2-40B4-BE49-F238E27FC236}">
              <a16:creationId xmlns:a16="http://schemas.microsoft.com/office/drawing/2014/main" id="{751495C2-A51E-8C43-938B-D5FF228E98DA}"/>
            </a:ext>
          </a:extLst>
        </xdr:cNvPr>
        <xdr:cNvPicPr>
          <a:picLocks noChangeAspect="1"/>
        </xdr:cNvPicPr>
      </xdr:nvPicPr>
      <xdr:blipFill>
        <a:blip xmlns:r="http://schemas.openxmlformats.org/officeDocument/2006/relationships" r:embed="rId13"/>
        <a:stretch>
          <a:fillRect/>
        </a:stretch>
      </xdr:blipFill>
      <xdr:spPr>
        <a:xfrm>
          <a:off x="13519725885" y="77086208"/>
          <a:ext cx="4905447" cy="2006883"/>
        </a:xfrm>
        <a:prstGeom prst="rect">
          <a:avLst/>
        </a:prstGeom>
      </xdr:spPr>
    </xdr:pic>
    <xdr:clientData/>
  </xdr:twoCellAnchor>
  <xdr:twoCellAnchor editAs="oneCell">
    <xdr:from>
      <xdr:col>7</xdr:col>
      <xdr:colOff>215419</xdr:colOff>
      <xdr:row>226</xdr:row>
      <xdr:rowOff>194317</xdr:rowOff>
    </xdr:from>
    <xdr:to>
      <xdr:col>8</xdr:col>
      <xdr:colOff>441277</xdr:colOff>
      <xdr:row>231</xdr:row>
      <xdr:rowOff>151530</xdr:rowOff>
    </xdr:to>
    <xdr:pic>
      <xdr:nvPicPr>
        <xdr:cNvPr id="23" name="Picture 22">
          <a:extLst>
            <a:ext uri="{FF2B5EF4-FFF2-40B4-BE49-F238E27FC236}">
              <a16:creationId xmlns:a16="http://schemas.microsoft.com/office/drawing/2014/main" id="{360A3C11-55CD-894C-80C0-C4C660C466EA}"/>
            </a:ext>
          </a:extLst>
        </xdr:cNvPr>
        <xdr:cNvPicPr>
          <a:picLocks noChangeAspect="1"/>
        </xdr:cNvPicPr>
      </xdr:nvPicPr>
      <xdr:blipFill>
        <a:blip xmlns:r="http://schemas.openxmlformats.org/officeDocument/2006/relationships" r:embed="rId14"/>
        <a:stretch>
          <a:fillRect/>
        </a:stretch>
      </xdr:blipFill>
      <xdr:spPr>
        <a:xfrm>
          <a:off x="13531109711" y="46049355"/>
          <a:ext cx="1052161" cy="969998"/>
        </a:xfrm>
        <a:prstGeom prst="rect">
          <a:avLst/>
        </a:prstGeom>
      </xdr:spPr>
    </xdr:pic>
    <xdr:clientData/>
  </xdr:twoCellAnchor>
  <xdr:twoCellAnchor>
    <xdr:from>
      <xdr:col>7</xdr:col>
      <xdr:colOff>801386</xdr:colOff>
      <xdr:row>229</xdr:row>
      <xdr:rowOff>112099</xdr:rowOff>
    </xdr:from>
    <xdr:to>
      <xdr:col>8</xdr:col>
      <xdr:colOff>635309</xdr:colOff>
      <xdr:row>232</xdr:row>
      <xdr:rowOff>17003</xdr:rowOff>
    </xdr:to>
    <xdr:sp macro="" textlink="">
      <xdr:nvSpPr>
        <xdr:cNvPr id="24" name="Explosion 1 23">
          <a:extLst>
            <a:ext uri="{FF2B5EF4-FFF2-40B4-BE49-F238E27FC236}">
              <a16:creationId xmlns:a16="http://schemas.microsoft.com/office/drawing/2014/main" id="{02045A73-D290-B245-9DCD-2F8E56A7F8C8}"/>
            </a:ext>
          </a:extLst>
        </xdr:cNvPr>
        <xdr:cNvSpPr/>
      </xdr:nvSpPr>
      <xdr:spPr>
        <a:xfrm>
          <a:off x="13530915679" y="46574808"/>
          <a:ext cx="660226" cy="512575"/>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566615</xdr:colOff>
      <xdr:row>225</xdr:row>
      <xdr:rowOff>43961</xdr:rowOff>
    </xdr:from>
    <xdr:to>
      <xdr:col>9</xdr:col>
      <xdr:colOff>4885</xdr:colOff>
      <xdr:row>237</xdr:row>
      <xdr:rowOff>112346</xdr:rowOff>
    </xdr:to>
    <xdr:sp macro="" textlink="">
      <xdr:nvSpPr>
        <xdr:cNvPr id="25" name="Rectangle 24">
          <a:extLst>
            <a:ext uri="{FF2B5EF4-FFF2-40B4-BE49-F238E27FC236}">
              <a16:creationId xmlns:a16="http://schemas.microsoft.com/office/drawing/2014/main" id="{9F035DB4-4093-D24A-B52F-4668D6A6144F}"/>
            </a:ext>
          </a:extLst>
        </xdr:cNvPr>
        <xdr:cNvSpPr/>
      </xdr:nvSpPr>
      <xdr:spPr>
        <a:xfrm>
          <a:off x="13517557615" y="40963361"/>
          <a:ext cx="263770" cy="25067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קיר</a:t>
          </a:r>
          <a:endParaRPr lang="en-US" sz="1100"/>
        </a:p>
      </xdr:txBody>
    </xdr:sp>
    <xdr:clientData/>
  </xdr:twoCellAnchor>
  <xdr:twoCellAnchor>
    <xdr:from>
      <xdr:col>0</xdr:col>
      <xdr:colOff>491289</xdr:colOff>
      <xdr:row>419</xdr:row>
      <xdr:rowOff>20049</xdr:rowOff>
    </xdr:from>
    <xdr:to>
      <xdr:col>6</xdr:col>
      <xdr:colOff>775368</xdr:colOff>
      <xdr:row>501</xdr:row>
      <xdr:rowOff>66842</xdr:rowOff>
    </xdr:to>
    <xdr:sp macro="" textlink="">
      <xdr:nvSpPr>
        <xdr:cNvPr id="27" name="TextBox 26">
          <a:extLst>
            <a:ext uri="{FF2B5EF4-FFF2-40B4-BE49-F238E27FC236}">
              <a16:creationId xmlns:a16="http://schemas.microsoft.com/office/drawing/2014/main" id="{BE96C5E8-0667-0A2D-A784-B60DE877DF4A}"/>
            </a:ext>
          </a:extLst>
        </xdr:cNvPr>
        <xdr:cNvSpPr txBox="1"/>
      </xdr:nvSpPr>
      <xdr:spPr>
        <a:xfrm>
          <a:off x="13519263632" y="85574602"/>
          <a:ext cx="5237079" cy="1676400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1"/>
          <a:r>
            <a:rPr lang="he-IL" sz="1100" b="1">
              <a:solidFill>
                <a:schemeClr val="dk1"/>
              </a:solidFill>
              <a:effectLst/>
              <a:latin typeface="+mn-lt"/>
              <a:ea typeface="+mn-ea"/>
              <a:cs typeface="+mn-cs"/>
            </a:rPr>
            <a:t>הרחבה מלאה ומפורטת על התהליכים שבוצעו בשאלה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מהותה של השאלה ומה בוחנים בה: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השאלה עוסקת בהיבטים חשבונאיים הקשורים להכרה בהכנסות, בהתחייבויות ובהפרשות במסגרת תקני הדיווח הכספי הבינלאומיים (</a:t>
          </a:r>
          <a:r>
            <a:rPr lang="en-US" sz="1100">
              <a:solidFill>
                <a:schemeClr val="dk1"/>
              </a:solidFill>
              <a:effectLst/>
              <a:latin typeface="+mn-lt"/>
              <a:ea typeface="+mn-ea"/>
              <a:cs typeface="+mn-cs"/>
            </a:rPr>
            <a:t>IFRS). </a:t>
          </a:r>
          <a:r>
            <a:rPr lang="he-IL" sz="1100">
              <a:solidFill>
                <a:schemeClr val="dk1"/>
              </a:solidFill>
              <a:effectLst/>
              <a:latin typeface="+mn-lt"/>
              <a:ea typeface="+mn-ea"/>
              <a:cs typeface="+mn-cs"/>
            </a:rPr>
            <a:t>אנו בוחנים מקרים של מכירת מוצרים ושירותים נלווים, כמו גם טיפול חשבונאי בתביעה משפטית ובכיסוי ביטוחי. מדובר בשני סוגי אחריות (רגילה ומורחבת) ותביעה שנוגעת לליקוי במוצר.</a:t>
          </a:r>
        </a:p>
        <a:p>
          <a:br>
            <a:rPr lang="he-IL">
              <a:effectLst/>
            </a:rPr>
          </a:br>
          <a:endParaRPr lang="he-IL">
            <a:effectLst/>
          </a:endParaRPr>
        </a:p>
        <a:p>
          <a:pPr rtl="1"/>
          <a:r>
            <a:rPr lang="he-IL" sz="1100" b="1">
              <a:solidFill>
                <a:schemeClr val="dk1"/>
              </a:solidFill>
              <a:effectLst/>
              <a:latin typeface="+mn-lt"/>
              <a:ea typeface="+mn-ea"/>
              <a:cs typeface="+mn-cs"/>
            </a:rPr>
            <a:t>תהליך 1: הכרת הכנסות ממכירת הקורקינטים</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זיהוי רכיבי העסקה: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העסקאות כוללות מכירת קורקינטים ממונעים, כאשר:</a:t>
          </a:r>
        </a:p>
        <a:p>
          <a:pPr rtl="1"/>
          <a:r>
            <a:rPr lang="he-IL" sz="1100">
              <a:solidFill>
                <a:schemeClr val="dk1"/>
              </a:solidFill>
              <a:effectLst/>
              <a:latin typeface="+mn-lt"/>
              <a:ea typeface="+mn-ea"/>
              <a:cs typeface="+mn-cs"/>
            </a:rPr>
            <a:t>• לקורקינט עם אחריות רגילה אין רכיב שירות נפרד.</a:t>
          </a:r>
        </a:p>
        <a:p>
          <a:pPr rtl="1"/>
          <a:r>
            <a:rPr lang="he-IL" sz="1100">
              <a:solidFill>
                <a:schemeClr val="dk1"/>
              </a:solidFill>
              <a:effectLst/>
              <a:latin typeface="+mn-lt"/>
              <a:ea typeface="+mn-ea"/>
              <a:cs typeface="+mn-cs"/>
            </a:rPr>
            <a:t>• לקורקינט עם אחריות מורחבת יש שני רכיבים נפרדים:</a:t>
          </a:r>
        </a:p>
        <a:p>
          <a:pPr rtl="1"/>
          <a:r>
            <a:rPr lang="he-IL" sz="1100">
              <a:solidFill>
                <a:schemeClr val="dk1"/>
              </a:solidFill>
              <a:effectLst/>
              <a:latin typeface="+mn-lt"/>
              <a:ea typeface="+mn-ea"/>
              <a:cs typeface="+mn-cs"/>
            </a:rPr>
            <a:t>• המוצר עצמו.</a:t>
          </a:r>
        </a:p>
        <a:p>
          <a:pPr rtl="1"/>
          <a:r>
            <a:rPr lang="he-IL" sz="1100">
              <a:solidFill>
                <a:schemeClr val="dk1"/>
              </a:solidFill>
              <a:effectLst/>
              <a:latin typeface="+mn-lt"/>
              <a:ea typeface="+mn-ea"/>
              <a:cs typeface="+mn-cs"/>
            </a:rPr>
            <a:t>• השירות הנוסף של האחריות המורחבת.</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פיצול התמורה בעסקאות עם 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על פי </a:t>
          </a:r>
          <a:r>
            <a:rPr lang="en-US" sz="1100">
              <a:solidFill>
                <a:schemeClr val="dk1"/>
              </a:solidFill>
              <a:effectLst/>
              <a:latin typeface="+mn-lt"/>
              <a:ea typeface="+mn-ea"/>
              <a:cs typeface="+mn-cs"/>
            </a:rPr>
            <a:t>IFRS 15, </a:t>
          </a:r>
          <a:r>
            <a:rPr lang="he-IL" sz="1100">
              <a:solidFill>
                <a:schemeClr val="dk1"/>
              </a:solidFill>
              <a:effectLst/>
              <a:latin typeface="+mn-lt"/>
              <a:ea typeface="+mn-ea"/>
              <a:cs typeface="+mn-cs"/>
            </a:rPr>
            <a:t>כאשר בעסקה משולבים מוצר ושירות, יש לפצל את התמורה באופן יחסי לשווי הרכיבים בעסקאות מקבילות שבהן הרכיבים נמכרים בנפרד. במקרה זה:</a:t>
          </a:r>
        </a:p>
        <a:p>
          <a:pPr rtl="1"/>
          <a:r>
            <a:rPr lang="he-IL" sz="1100">
              <a:solidFill>
                <a:schemeClr val="dk1"/>
              </a:solidFill>
              <a:effectLst/>
              <a:latin typeface="+mn-lt"/>
              <a:ea typeface="+mn-ea"/>
              <a:cs typeface="+mn-cs"/>
            </a:rPr>
            <a:t>• מחיר הקורקינט עם אחריות רגילה: 1,000 ש”ח.</a:t>
          </a:r>
        </a:p>
        <a:p>
          <a:pPr rtl="1"/>
          <a:r>
            <a:rPr lang="he-IL" sz="1100">
              <a:solidFill>
                <a:schemeClr val="dk1"/>
              </a:solidFill>
              <a:effectLst/>
              <a:latin typeface="+mn-lt"/>
              <a:ea typeface="+mn-ea"/>
              <a:cs typeface="+mn-cs"/>
            </a:rPr>
            <a:t>• מחיר האחריות המורחבת אם נרכשה בנפרד: 300 ש”ח.</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חישוב יחס התמורה: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שווי האחריות המורחבת מתוך העסקה: </a:t>
          </a:r>
        </a:p>
        <a:p>
          <a:pPr rtl="1"/>
          <a:r>
            <a:rPr lang="he-IL" sz="1100">
              <a:solidFill>
                <a:schemeClr val="dk1"/>
              </a:solidFill>
              <a:effectLst/>
              <a:latin typeface="+mn-lt"/>
              <a:ea typeface="+mn-ea"/>
              <a:cs typeface="+mn-cs"/>
            </a:rPr>
            <a:t>• שווי הקורקינט מתוך העסקה: </a:t>
          </a:r>
        </a:p>
        <a:p>
          <a:pPr rtl="1"/>
          <a:r>
            <a:rPr lang="he-IL" sz="1100">
              <a:solidFill>
                <a:schemeClr val="dk1"/>
              </a:solidFill>
              <a:effectLst/>
              <a:latin typeface="+mn-lt"/>
              <a:ea typeface="+mn-ea"/>
              <a:cs typeface="+mn-cs"/>
            </a:rPr>
            <a:t>4. </a:t>
          </a:r>
          <a:r>
            <a:rPr lang="he-IL" sz="1100" b="1">
              <a:solidFill>
                <a:schemeClr val="dk1"/>
              </a:solidFill>
              <a:effectLst/>
              <a:latin typeface="+mn-lt"/>
              <a:ea typeface="+mn-ea"/>
              <a:cs typeface="+mn-cs"/>
            </a:rPr>
            <a:t>פיצול התמורה בעסקאות עם 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מתוך 1,200 ש”ח ששולמו עבור קורקינט עם אחריות מורחבת:</a:t>
          </a:r>
        </a:p>
        <a:p>
          <a:pPr rtl="1"/>
          <a:r>
            <a:rPr lang="he-IL" sz="1100">
              <a:solidFill>
                <a:schemeClr val="dk1"/>
              </a:solidFill>
              <a:effectLst/>
              <a:latin typeface="+mn-lt"/>
              <a:ea typeface="+mn-ea"/>
              <a:cs typeface="+mn-cs"/>
            </a:rPr>
            <a:t>• 923 ש”ח מיוחסים לקורקינט עצמו.</a:t>
          </a:r>
        </a:p>
        <a:p>
          <a:pPr rtl="1"/>
          <a:r>
            <a:rPr lang="he-IL" sz="1100">
              <a:solidFill>
                <a:schemeClr val="dk1"/>
              </a:solidFill>
              <a:effectLst/>
              <a:latin typeface="+mn-lt"/>
              <a:ea typeface="+mn-ea"/>
              <a:cs typeface="+mn-cs"/>
            </a:rPr>
            <a:t>• 277 ש”ח מיוחסים לאחריות המורחבת.</a:t>
          </a:r>
        </a:p>
        <a:p>
          <a:pPr rtl="1"/>
          <a:r>
            <a:rPr lang="he-IL" sz="1100">
              <a:solidFill>
                <a:schemeClr val="dk1"/>
              </a:solidFill>
              <a:effectLst/>
              <a:latin typeface="+mn-lt"/>
              <a:ea typeface="+mn-ea"/>
              <a:cs typeface="+mn-cs"/>
            </a:rPr>
            <a:t>5. </a:t>
          </a:r>
          <a:r>
            <a:rPr lang="he-IL" sz="1100" b="1">
              <a:solidFill>
                <a:schemeClr val="dk1"/>
              </a:solidFill>
              <a:effectLst/>
              <a:latin typeface="+mn-lt"/>
              <a:ea typeface="+mn-ea"/>
              <a:cs typeface="+mn-cs"/>
            </a:rPr>
            <a:t>סכום ההכנסות ממכירת קורקינטים: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קורקינטים עם אחריות רגילה (30,000 יחידות): </a:t>
          </a:r>
        </a:p>
        <a:p>
          <a:pPr rtl="1"/>
          <a:r>
            <a:rPr lang="he-IL" sz="1100">
              <a:solidFill>
                <a:schemeClr val="dk1"/>
              </a:solidFill>
              <a:effectLst/>
              <a:latin typeface="+mn-lt"/>
              <a:ea typeface="+mn-ea"/>
              <a:cs typeface="+mn-cs"/>
            </a:rPr>
            <a:t>• קורקינטים עם אחריות מורחבת (70,000 יחידות): </a:t>
          </a:r>
        </a:p>
        <a:p>
          <a:pPr rtl="1"/>
          <a:r>
            <a:rPr lang="he-IL" sz="1100">
              <a:solidFill>
                <a:schemeClr val="dk1"/>
              </a:solidFill>
              <a:effectLst/>
              <a:latin typeface="+mn-lt"/>
              <a:ea typeface="+mn-ea"/>
              <a:cs typeface="+mn-cs"/>
            </a:rPr>
            <a:t>• סה”כ הכנסות מקורקינטים בלבד: </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הכנסות ממכירת קורקינטים בלבד בשנת 2018 הן 94,615,000 ש”ח, ולא כפי שנאמר בטעות בשאלה שהן 93,000,000 ש”ח.</a:t>
          </a:r>
        </a:p>
        <a:p>
          <a:br>
            <a:rPr lang="he-IL">
              <a:effectLst/>
            </a:rPr>
          </a:br>
          <a:endParaRPr lang="he-IL">
            <a:effectLst/>
          </a:endParaRPr>
        </a:p>
        <a:p>
          <a:pPr rtl="1"/>
          <a:r>
            <a:rPr lang="he-IL" sz="1100" b="1">
              <a:solidFill>
                <a:schemeClr val="dk1"/>
              </a:solidFill>
              <a:effectLst/>
              <a:latin typeface="+mn-lt"/>
              <a:ea typeface="+mn-ea"/>
              <a:cs typeface="+mn-cs"/>
            </a:rPr>
            <a:t>תהליך 2: הכרה בהתחייבות בגין אחריות</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אחריות רגילה: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לכל קורקינט עם אחריות רגילה, החברה מצפה עלות תיקונים ממוצעת של 100 ש”ח.</a:t>
          </a:r>
        </a:p>
        <a:p>
          <a:pPr rtl="1"/>
          <a:r>
            <a:rPr lang="he-IL" sz="1100">
              <a:solidFill>
                <a:schemeClr val="dk1"/>
              </a:solidFill>
              <a:effectLst/>
              <a:latin typeface="+mn-lt"/>
              <a:ea typeface="+mn-ea"/>
              <a:cs typeface="+mn-cs"/>
            </a:rPr>
            <a:t>• מכיוון שמדובר באחריות הניתנת כחוק ולא ניתן למכור את הקורקינט בלעדיה, אין הפרדה של רכיב האחריות מהקורקינט.</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אחריות מורחבת: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עלות רכיב האחריות המורחבת חושבה כ-277 ש”ח לכל יחידה, בהתבסס על פיצול התמורה.</a:t>
          </a:r>
        </a:p>
        <a:p>
          <a:pPr rtl="1"/>
          <a:r>
            <a:rPr lang="he-IL" sz="1100">
              <a:solidFill>
                <a:schemeClr val="dk1"/>
              </a:solidFill>
              <a:effectLst/>
              <a:latin typeface="+mn-lt"/>
              <a:ea typeface="+mn-ea"/>
              <a:cs typeface="+mn-cs"/>
            </a:rPr>
            <a:t>• אחריות זו מכסה שנתיים וחצי נוספות מעבר לאחריות הרגילה, ולכן נדרש לייחד לה התחייבות נפרדת.</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סכום ההתחייבות הכוללת: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עבור 30,000 קורקינטים עם אחריות רגילה בלבד: </a:t>
          </a:r>
        </a:p>
        <a:p>
          <a:pPr rtl="1"/>
          <a:r>
            <a:rPr lang="he-IL" sz="1100">
              <a:solidFill>
                <a:schemeClr val="dk1"/>
              </a:solidFill>
              <a:effectLst/>
              <a:latin typeface="+mn-lt"/>
              <a:ea typeface="+mn-ea"/>
              <a:cs typeface="+mn-cs"/>
            </a:rPr>
            <a:t>• עבור 70,000 קורקינטים עם אחריות מורחבת: </a:t>
          </a:r>
        </a:p>
        <a:p>
          <a:pPr rtl="1"/>
          <a:r>
            <a:rPr lang="he-IL" sz="1100">
              <a:solidFill>
                <a:schemeClr val="dk1"/>
              </a:solidFill>
              <a:effectLst/>
              <a:latin typeface="+mn-lt"/>
              <a:ea typeface="+mn-ea"/>
              <a:cs typeface="+mn-cs"/>
            </a:rPr>
            <a:t>• סה”כ הפרשה בגין אחריות: </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יש להכיר בהתחייבות כוללת של 22,390,000 ש”ח בגין אחריות במועד המכירה.</a:t>
          </a:r>
        </a:p>
        <a:p>
          <a:br>
            <a:rPr lang="he-IL">
              <a:effectLst/>
            </a:rPr>
          </a:br>
          <a:endParaRPr lang="he-IL">
            <a:effectLst/>
          </a:endParaRPr>
        </a:p>
        <a:p>
          <a:pPr rtl="1"/>
          <a:r>
            <a:rPr lang="he-IL" sz="1100" b="1">
              <a:solidFill>
                <a:schemeClr val="dk1"/>
              </a:solidFill>
              <a:effectLst/>
              <a:latin typeface="+mn-lt"/>
              <a:ea typeface="+mn-ea"/>
              <a:cs typeface="+mn-cs"/>
            </a:rPr>
            <a:t>תהליך 3: הכרה בהפרשה בגין התביעה המשפטית</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שלבי התהליך:</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הערכת הסיכון והסכום: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החברה העריכה, בעזרת יועציה המשפטיים, שתידרש לשלם 1,000,000 ש”ח.</a:t>
          </a:r>
        </a:p>
        <a:p>
          <a:pPr rtl="1"/>
          <a:r>
            <a:rPr lang="he-IL" sz="1100">
              <a:solidFill>
                <a:schemeClr val="dk1"/>
              </a:solidFill>
              <a:effectLst/>
              <a:latin typeface="+mn-lt"/>
              <a:ea typeface="+mn-ea"/>
              <a:cs typeface="+mn-cs"/>
            </a:rPr>
            <a:t>• התקן </a:t>
          </a:r>
          <a:r>
            <a:rPr lang="en-US" sz="1100">
              <a:solidFill>
                <a:schemeClr val="dk1"/>
              </a:solidFill>
              <a:effectLst/>
              <a:latin typeface="+mn-lt"/>
              <a:ea typeface="+mn-ea"/>
              <a:cs typeface="+mn-cs"/>
            </a:rPr>
            <a:t>IAS 37 </a:t>
          </a:r>
          <a:r>
            <a:rPr lang="he-IL" sz="1100">
              <a:solidFill>
                <a:schemeClr val="dk1"/>
              </a:solidFill>
              <a:effectLst/>
              <a:latin typeface="+mn-lt"/>
              <a:ea typeface="+mn-ea"/>
              <a:cs typeface="+mn-cs"/>
            </a:rPr>
            <a:t>קובע כי יש להכיר בהתחייבות רק אם:</a:t>
          </a:r>
        </a:p>
        <a:p>
          <a:pPr rtl="1"/>
          <a:r>
            <a:rPr lang="he-IL" sz="1100">
              <a:solidFill>
                <a:schemeClr val="dk1"/>
              </a:solidFill>
              <a:effectLst/>
              <a:latin typeface="+mn-lt"/>
              <a:ea typeface="+mn-ea"/>
              <a:cs typeface="+mn-cs"/>
            </a:rPr>
            <a:t>• הסכום ניתן למדידה באופן מהימן.</a:t>
          </a:r>
        </a:p>
        <a:p>
          <a:pPr rtl="1"/>
          <a:r>
            <a:rPr lang="he-IL" sz="1100">
              <a:solidFill>
                <a:schemeClr val="dk1"/>
              </a:solidFill>
              <a:effectLst/>
              <a:latin typeface="+mn-lt"/>
              <a:ea typeface="+mn-ea"/>
              <a:cs typeface="+mn-cs"/>
            </a:rPr>
            <a:t>• קיים סבירות גבוהה לתשלום (</a:t>
          </a:r>
          <a:r>
            <a:rPr lang="en-US" sz="1100">
              <a:solidFill>
                <a:schemeClr val="dk1"/>
              </a:solidFill>
              <a:effectLst/>
              <a:latin typeface="+mn-lt"/>
              <a:ea typeface="+mn-ea"/>
              <a:cs typeface="+mn-cs"/>
            </a:rPr>
            <a:t>likely/probable).</a:t>
          </a:r>
        </a:p>
        <a:p>
          <a:pPr rtl="1"/>
          <a:r>
            <a:rPr lang="en-US" sz="1100">
              <a:solidFill>
                <a:schemeClr val="dk1"/>
              </a:solidFill>
              <a:effectLst/>
              <a:latin typeface="+mn-lt"/>
              <a:ea typeface="+mn-ea"/>
              <a:cs typeface="+mn-cs"/>
            </a:rPr>
            <a:t>2. </a:t>
          </a:r>
          <a:r>
            <a:rPr lang="he-IL" sz="1100" b="1">
              <a:solidFill>
                <a:schemeClr val="dk1"/>
              </a:solidFill>
              <a:effectLst/>
              <a:latin typeface="+mn-lt"/>
              <a:ea typeface="+mn-ea"/>
              <a:cs typeface="+mn-cs"/>
            </a:rPr>
            <a:t>התייחסות לנכס השיפוי (הביטוח):</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חברת הביטוח אישרה כי תשפה את החברה במלוא סכום התביעה ואף ב-20% נוספים.</a:t>
          </a:r>
        </a:p>
        <a:p>
          <a:pPr rtl="1"/>
          <a:r>
            <a:rPr lang="he-IL" sz="1100">
              <a:solidFill>
                <a:schemeClr val="dk1"/>
              </a:solidFill>
              <a:effectLst/>
              <a:latin typeface="+mn-lt"/>
              <a:ea typeface="+mn-ea"/>
              <a:cs typeface="+mn-cs"/>
            </a:rPr>
            <a:t>• למרות זאת, </a:t>
          </a:r>
          <a:r>
            <a:rPr lang="en-US" sz="1100">
              <a:solidFill>
                <a:schemeClr val="dk1"/>
              </a:solidFill>
              <a:effectLst/>
              <a:latin typeface="+mn-lt"/>
              <a:ea typeface="+mn-ea"/>
              <a:cs typeface="+mn-cs"/>
            </a:rPr>
            <a:t>IAS 37 </a:t>
          </a:r>
          <a:r>
            <a:rPr lang="he-IL" sz="1100">
              <a:solidFill>
                <a:schemeClr val="dk1"/>
              </a:solidFill>
              <a:effectLst/>
              <a:latin typeface="+mn-lt"/>
              <a:ea typeface="+mn-ea"/>
              <a:cs typeface="+mn-cs"/>
            </a:rPr>
            <a:t>מגביל את הכרת נכס השיפוי לסכום ההתחייבות שהוכרה (1,000,000 ש”ח במקרה זה).</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הטיפול החשבונאי:</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הכרה בהתחייבות לתביעה: </a:t>
          </a:r>
        </a:p>
        <a:p>
          <a:pPr rtl="1"/>
          <a:r>
            <a:rPr lang="he-IL" sz="1100">
              <a:solidFill>
                <a:schemeClr val="dk1"/>
              </a:solidFill>
              <a:effectLst/>
              <a:latin typeface="+mn-lt"/>
              <a:ea typeface="+mn-ea"/>
              <a:cs typeface="+mn-cs"/>
            </a:rPr>
            <a:t>• הכרה בנכס שיפוי: </a:t>
          </a:r>
        </a:p>
        <a:p>
          <a:pPr rtl="1"/>
          <a:r>
            <a:rPr lang="he-IL" sz="1100">
              <a:solidFill>
                <a:schemeClr val="dk1"/>
              </a:solidFill>
              <a:effectLst/>
              <a:latin typeface="+mn-lt"/>
              <a:ea typeface="+mn-ea"/>
              <a:cs typeface="+mn-cs"/>
            </a:rPr>
            <a:t>• ההשפעה נטו על הרווח: 0.</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מסקנה: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יש להכיר בהפרשה של 1,000,000 ש”ח בגין התביעה ובנכס שיפוי באותו סכום. סכום התביעה (3,000,000 ש”ח) אינו רלוונטי, כיוון שהתחייבות נקבעת לפי הסכום המוערך לצאת בפועל.</a:t>
          </a:r>
        </a:p>
        <a:p>
          <a:br>
            <a:rPr lang="he-IL">
              <a:effectLst/>
            </a:rPr>
          </a:br>
          <a:endParaRPr lang="he-IL">
            <a:effectLst/>
          </a:endParaRPr>
        </a:p>
        <a:p>
          <a:pPr rtl="1"/>
          <a:r>
            <a:rPr lang="he-IL" sz="1100" b="1">
              <a:solidFill>
                <a:schemeClr val="dk1"/>
              </a:solidFill>
              <a:effectLst/>
              <a:latin typeface="+mn-lt"/>
              <a:ea typeface="+mn-ea"/>
              <a:cs typeface="+mn-cs"/>
            </a:rPr>
            <a:t>תהליך 4: טיפול ברווח והפרשה</a:t>
          </a:r>
          <a:endParaRPr lang="he-IL" sz="1100">
            <a:solidFill>
              <a:schemeClr val="dk1"/>
            </a:solidFill>
            <a:effectLst/>
            <a:latin typeface="+mn-lt"/>
            <a:ea typeface="+mn-ea"/>
            <a:cs typeface="+mn-cs"/>
          </a:endParaRP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b="1">
              <a:solidFill>
                <a:schemeClr val="dk1"/>
              </a:solidFill>
              <a:effectLst/>
              <a:latin typeface="+mn-lt"/>
              <a:ea typeface="+mn-ea"/>
              <a:cs typeface="+mn-cs"/>
            </a:rPr>
            <a:t>נקודות מרכזיות:</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הרווח לא יכול לגדול בעקבות הכרת ההפרשה ונכס השיפוי, משום שנכס השיפוי מוגבל לסכום ההתחייבות.</a:t>
          </a:r>
        </a:p>
        <a:p>
          <a:pPr rtl="1"/>
          <a:r>
            <a:rPr lang="he-IL" sz="1100">
              <a:solidFill>
                <a:schemeClr val="dk1"/>
              </a:solidFill>
              <a:effectLst/>
              <a:latin typeface="+mn-lt"/>
              <a:ea typeface="+mn-ea"/>
              <a:cs typeface="+mn-cs"/>
            </a:rPr>
            <a:t>• הפרשות אינן משפיעות ישירות על הרווח, אלא רק מייצגות התחייבות עתידית.</a:t>
          </a:r>
        </a:p>
        <a:p>
          <a:br>
            <a:rPr lang="he-IL">
              <a:effectLst/>
            </a:rPr>
          </a:br>
          <a:endParaRPr lang="he-IL">
            <a:effectLst/>
          </a:endParaRPr>
        </a:p>
        <a:p>
          <a:pPr rtl="1"/>
          <a:r>
            <a:rPr lang="he-IL" sz="1100" b="1">
              <a:solidFill>
                <a:schemeClr val="dk1"/>
              </a:solidFill>
              <a:effectLst/>
              <a:latin typeface="+mn-lt"/>
              <a:ea typeface="+mn-ea"/>
              <a:cs typeface="+mn-cs"/>
            </a:rPr>
            <a:t>לקחים מהשאלה:</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1. </a:t>
          </a:r>
          <a:r>
            <a:rPr lang="he-IL" sz="1100" b="1">
              <a:solidFill>
                <a:schemeClr val="dk1"/>
              </a:solidFill>
              <a:effectLst/>
              <a:latin typeface="+mn-lt"/>
              <a:ea typeface="+mn-ea"/>
              <a:cs typeface="+mn-cs"/>
            </a:rPr>
            <a:t>עבודה עם תקנים חשבונאיים:</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יש להבין לעומק את ההנחיות של תקנים כמו </a:t>
          </a:r>
          <a:r>
            <a:rPr lang="en-US" sz="1100">
              <a:solidFill>
                <a:schemeClr val="dk1"/>
              </a:solidFill>
              <a:effectLst/>
              <a:latin typeface="+mn-lt"/>
              <a:ea typeface="+mn-ea"/>
              <a:cs typeface="+mn-cs"/>
            </a:rPr>
            <a:t>IFRS 15 </a:t>
          </a:r>
          <a:r>
            <a:rPr lang="he-IL" sz="1100">
              <a:solidFill>
                <a:schemeClr val="dk1"/>
              </a:solidFill>
              <a:effectLst/>
              <a:latin typeface="+mn-lt"/>
              <a:ea typeface="+mn-ea"/>
              <a:cs typeface="+mn-cs"/>
            </a:rPr>
            <a:t>ו-</a:t>
          </a:r>
          <a:r>
            <a:rPr lang="en-US" sz="1100">
              <a:solidFill>
                <a:schemeClr val="dk1"/>
              </a:solidFill>
              <a:effectLst/>
              <a:latin typeface="+mn-lt"/>
              <a:ea typeface="+mn-ea"/>
              <a:cs typeface="+mn-cs"/>
            </a:rPr>
            <a:t>IAS 37.</a:t>
          </a:r>
        </a:p>
        <a:p>
          <a:pPr rtl="1"/>
          <a:r>
            <a:rPr lang="en-US" sz="1100">
              <a:solidFill>
                <a:schemeClr val="dk1"/>
              </a:solidFill>
              <a:effectLst/>
              <a:latin typeface="+mn-lt"/>
              <a:ea typeface="+mn-ea"/>
              <a:cs typeface="+mn-cs"/>
            </a:rPr>
            <a:t>• </a:t>
          </a:r>
          <a:r>
            <a:rPr lang="he-IL" sz="1100">
              <a:solidFill>
                <a:schemeClr val="dk1"/>
              </a:solidFill>
              <a:effectLst/>
              <a:latin typeface="+mn-lt"/>
              <a:ea typeface="+mn-ea"/>
              <a:cs typeface="+mn-cs"/>
            </a:rPr>
            <a:t>פיצול רכיבי עסקה חיוני לדיווח הכנסות מדויק.</a:t>
          </a:r>
        </a:p>
        <a:p>
          <a:pPr rtl="1"/>
          <a:r>
            <a:rPr lang="he-IL" sz="1100">
              <a:solidFill>
                <a:schemeClr val="dk1"/>
              </a:solidFill>
              <a:effectLst/>
              <a:latin typeface="+mn-lt"/>
              <a:ea typeface="+mn-ea"/>
              <a:cs typeface="+mn-cs"/>
            </a:rPr>
            <a:t>2. </a:t>
          </a:r>
          <a:r>
            <a:rPr lang="he-IL" sz="1100" b="1">
              <a:solidFill>
                <a:schemeClr val="dk1"/>
              </a:solidFill>
              <a:effectLst/>
              <a:latin typeface="+mn-lt"/>
              <a:ea typeface="+mn-ea"/>
              <a:cs typeface="+mn-cs"/>
            </a:rPr>
            <a:t>שיקול דעת מקצועי:</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בחירת הנתונים הרלוונטיים והפרדת רכיבים תלויים ולא תלויים.</a:t>
          </a:r>
        </a:p>
        <a:p>
          <a:pPr rtl="1"/>
          <a:r>
            <a:rPr lang="he-IL" sz="1100">
              <a:solidFill>
                <a:schemeClr val="dk1"/>
              </a:solidFill>
              <a:effectLst/>
              <a:latin typeface="+mn-lt"/>
              <a:ea typeface="+mn-ea"/>
              <a:cs typeface="+mn-cs"/>
            </a:rPr>
            <a:t>• הערכה מבוססת של סיכונים משפטיים וכלכליים.</a:t>
          </a:r>
        </a:p>
        <a:p>
          <a:pPr rtl="1"/>
          <a:r>
            <a:rPr lang="he-IL" sz="1100">
              <a:solidFill>
                <a:schemeClr val="dk1"/>
              </a:solidFill>
              <a:effectLst/>
              <a:latin typeface="+mn-lt"/>
              <a:ea typeface="+mn-ea"/>
              <a:cs typeface="+mn-cs"/>
            </a:rPr>
            <a:t>3. </a:t>
          </a:r>
          <a:r>
            <a:rPr lang="he-IL" sz="1100" b="1">
              <a:solidFill>
                <a:schemeClr val="dk1"/>
              </a:solidFill>
              <a:effectLst/>
              <a:latin typeface="+mn-lt"/>
              <a:ea typeface="+mn-ea"/>
              <a:cs typeface="+mn-cs"/>
            </a:rPr>
            <a:t>ניהול מידע מורכב:</a:t>
          </a: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 שילוב נתוני מכירות, עלויות ותביעות לתמונה ברורה.</a:t>
          </a:r>
        </a:p>
        <a:p>
          <a:pPr rtl="1"/>
          <a:r>
            <a:rPr lang="he-IL" sz="1100">
              <a:solidFill>
                <a:schemeClr val="dk1"/>
              </a:solidFill>
              <a:effectLst/>
              <a:latin typeface="+mn-lt"/>
              <a:ea typeface="+mn-ea"/>
              <a:cs typeface="+mn-cs"/>
            </a:rPr>
            <a:t>• דגש על דיוק ועקביות בין חישובים לדיווחים.</a:t>
          </a:r>
        </a:p>
        <a:p>
          <a:br>
            <a:rPr lang="he-IL" sz="1100">
              <a:solidFill>
                <a:schemeClr val="dk1"/>
              </a:solidFill>
              <a:effectLst/>
              <a:latin typeface="+mn-lt"/>
              <a:ea typeface="+mn-ea"/>
              <a:cs typeface="+mn-cs"/>
            </a:rPr>
          </a:br>
          <a:endParaRPr lang="he-IL" sz="1100">
            <a:solidFill>
              <a:schemeClr val="dk1"/>
            </a:solidFill>
            <a:effectLst/>
            <a:latin typeface="+mn-lt"/>
            <a:ea typeface="+mn-ea"/>
            <a:cs typeface="+mn-cs"/>
          </a:endParaRPr>
        </a:p>
        <a:p>
          <a:pPr rtl="1"/>
          <a:r>
            <a:rPr lang="he-IL" sz="1100">
              <a:solidFill>
                <a:schemeClr val="dk1"/>
              </a:solidFill>
              <a:effectLst/>
              <a:latin typeface="+mn-lt"/>
              <a:ea typeface="+mn-ea"/>
              <a:cs typeface="+mn-cs"/>
            </a:rPr>
            <a:t>אם נדרש, ניתן להוסיף דוגמאות או הבהרות נוספות!</a:t>
          </a:r>
        </a:p>
        <a:p>
          <a:pPr algn="r" rtl="1"/>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26</xdr:row>
      <xdr:rowOff>187097</xdr:rowOff>
    </xdr:from>
    <xdr:to>
      <xdr:col>4</xdr:col>
      <xdr:colOff>120789</xdr:colOff>
      <xdr:row>31</xdr:row>
      <xdr:rowOff>158207</xdr:rowOff>
    </xdr:to>
    <xdr:pic>
      <xdr:nvPicPr>
        <xdr:cNvPr id="2" name="Picture 1">
          <a:extLst>
            <a:ext uri="{FF2B5EF4-FFF2-40B4-BE49-F238E27FC236}">
              <a16:creationId xmlns:a16="http://schemas.microsoft.com/office/drawing/2014/main" id="{A815D19F-3A64-7E49-9CCF-CC301DEBB671}"/>
            </a:ext>
          </a:extLst>
        </xdr:cNvPr>
        <xdr:cNvPicPr>
          <a:picLocks noChangeAspect="1"/>
        </xdr:cNvPicPr>
      </xdr:nvPicPr>
      <xdr:blipFill>
        <a:blip xmlns:r="http://schemas.openxmlformats.org/officeDocument/2006/relationships" r:embed="rId1"/>
        <a:stretch>
          <a:fillRect/>
        </a:stretch>
      </xdr:blipFill>
      <xdr:spPr>
        <a:xfrm>
          <a:off x="13521569211" y="5521097"/>
          <a:ext cx="3791089" cy="987110"/>
        </a:xfrm>
        <a:prstGeom prst="rect">
          <a:avLst/>
        </a:prstGeom>
      </xdr:spPr>
    </xdr:pic>
    <xdr:clientData/>
  </xdr:twoCellAnchor>
  <xdr:twoCellAnchor editAs="oneCell">
    <xdr:from>
      <xdr:col>0</xdr:col>
      <xdr:colOff>172288</xdr:colOff>
      <xdr:row>43</xdr:row>
      <xdr:rowOff>79883</xdr:rowOff>
    </xdr:from>
    <xdr:to>
      <xdr:col>3</xdr:col>
      <xdr:colOff>806105</xdr:colOff>
      <xdr:row>51</xdr:row>
      <xdr:rowOff>4823</xdr:rowOff>
    </xdr:to>
    <xdr:pic>
      <xdr:nvPicPr>
        <xdr:cNvPr id="3" name="Picture 2">
          <a:extLst>
            <a:ext uri="{FF2B5EF4-FFF2-40B4-BE49-F238E27FC236}">
              <a16:creationId xmlns:a16="http://schemas.microsoft.com/office/drawing/2014/main" id="{E2CC82AE-1F15-1847-848D-070EF01FCB0E}"/>
            </a:ext>
          </a:extLst>
        </xdr:cNvPr>
        <xdr:cNvPicPr>
          <a:picLocks noChangeAspect="1"/>
        </xdr:cNvPicPr>
      </xdr:nvPicPr>
      <xdr:blipFill>
        <a:blip xmlns:r="http://schemas.openxmlformats.org/officeDocument/2006/relationships" r:embed="rId2"/>
        <a:stretch>
          <a:fillRect/>
        </a:stretch>
      </xdr:blipFill>
      <xdr:spPr>
        <a:xfrm>
          <a:off x="13522077695" y="8868283"/>
          <a:ext cx="3110317" cy="1550540"/>
        </a:xfrm>
        <a:prstGeom prst="rect">
          <a:avLst/>
        </a:prstGeom>
      </xdr:spPr>
    </xdr:pic>
    <xdr:clientData/>
  </xdr:twoCellAnchor>
  <xdr:twoCellAnchor>
    <xdr:from>
      <xdr:col>1</xdr:col>
      <xdr:colOff>123199</xdr:colOff>
      <xdr:row>56</xdr:row>
      <xdr:rowOff>144666</xdr:rowOff>
    </xdr:from>
    <xdr:to>
      <xdr:col>7</xdr:col>
      <xdr:colOff>280719</xdr:colOff>
      <xdr:row>56</xdr:row>
      <xdr:rowOff>164356</xdr:rowOff>
    </xdr:to>
    <xdr:cxnSp macro="">
      <xdr:nvCxnSpPr>
        <xdr:cNvPr id="4" name="Straight Arrow Connector 3">
          <a:extLst>
            <a:ext uri="{FF2B5EF4-FFF2-40B4-BE49-F238E27FC236}">
              <a16:creationId xmlns:a16="http://schemas.microsoft.com/office/drawing/2014/main" id="{9ECD5680-8ACF-1F43-BD3D-C5FDE15EEBFB}"/>
            </a:ext>
          </a:extLst>
        </xdr:cNvPr>
        <xdr:cNvCxnSpPr/>
      </xdr:nvCxnSpPr>
      <xdr:spPr>
        <a:xfrm flipV="1">
          <a:off x="13518932781" y="11574666"/>
          <a:ext cx="5478820" cy="19690"/>
        </a:xfrm>
        <a:prstGeom prst="straightConnector1">
          <a:avLst/>
        </a:prstGeom>
        <a:ln>
          <a:headEnd type="triangle"/>
          <a:tailEnd type="triangle"/>
        </a:ln>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344574</xdr:colOff>
      <xdr:row>62</xdr:row>
      <xdr:rowOff>44302</xdr:rowOff>
    </xdr:from>
    <xdr:to>
      <xdr:col>6</xdr:col>
      <xdr:colOff>413489</xdr:colOff>
      <xdr:row>63</xdr:row>
      <xdr:rowOff>14768</xdr:rowOff>
    </xdr:to>
    <xdr:sp macro="" textlink="">
      <xdr:nvSpPr>
        <xdr:cNvPr id="5" name="Down Arrow 4">
          <a:extLst>
            <a:ext uri="{FF2B5EF4-FFF2-40B4-BE49-F238E27FC236}">
              <a16:creationId xmlns:a16="http://schemas.microsoft.com/office/drawing/2014/main" id="{9999DC3D-4AA7-1A4D-A6BA-FBD17A11512A}"/>
            </a:ext>
          </a:extLst>
        </xdr:cNvPr>
        <xdr:cNvSpPr/>
      </xdr:nvSpPr>
      <xdr:spPr>
        <a:xfrm>
          <a:off x="13519625511" y="12693502"/>
          <a:ext cx="68915" cy="17366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359341</xdr:colOff>
      <xdr:row>67</xdr:row>
      <xdr:rowOff>24612</xdr:rowOff>
    </xdr:from>
    <xdr:to>
      <xdr:col>4</xdr:col>
      <xdr:colOff>428256</xdr:colOff>
      <xdr:row>67</xdr:row>
      <xdr:rowOff>196899</xdr:rowOff>
    </xdr:to>
    <xdr:sp macro="" textlink="">
      <xdr:nvSpPr>
        <xdr:cNvPr id="6" name="Down Arrow 5">
          <a:extLst>
            <a:ext uri="{FF2B5EF4-FFF2-40B4-BE49-F238E27FC236}">
              <a16:creationId xmlns:a16="http://schemas.microsoft.com/office/drawing/2014/main" id="{6F267D29-D96F-334F-891D-CE8BD05FFAC1}"/>
            </a:ext>
          </a:extLst>
        </xdr:cNvPr>
        <xdr:cNvSpPr/>
      </xdr:nvSpPr>
      <xdr:spPr>
        <a:xfrm>
          <a:off x="13521261744" y="13689812"/>
          <a:ext cx="68915" cy="17228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354420</xdr:colOff>
      <xdr:row>67</xdr:row>
      <xdr:rowOff>14767</xdr:rowOff>
    </xdr:from>
    <xdr:to>
      <xdr:col>2</xdr:col>
      <xdr:colOff>423335</xdr:colOff>
      <xdr:row>67</xdr:row>
      <xdr:rowOff>187054</xdr:rowOff>
    </xdr:to>
    <xdr:sp macro="" textlink="">
      <xdr:nvSpPr>
        <xdr:cNvPr id="7" name="Down Arrow 6">
          <a:extLst>
            <a:ext uri="{FF2B5EF4-FFF2-40B4-BE49-F238E27FC236}">
              <a16:creationId xmlns:a16="http://schemas.microsoft.com/office/drawing/2014/main" id="{16ABF4ED-7CA0-114B-B49E-41A27B703A27}"/>
            </a:ext>
          </a:extLst>
        </xdr:cNvPr>
        <xdr:cNvSpPr/>
      </xdr:nvSpPr>
      <xdr:spPr>
        <a:xfrm>
          <a:off x="13523285965" y="13679967"/>
          <a:ext cx="68915" cy="17228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17636</xdr:colOff>
      <xdr:row>70</xdr:row>
      <xdr:rowOff>164630</xdr:rowOff>
    </xdr:from>
    <xdr:to>
      <xdr:col>7</xdr:col>
      <xdr:colOff>29397</xdr:colOff>
      <xdr:row>72</xdr:row>
      <xdr:rowOff>0</xdr:rowOff>
    </xdr:to>
    <xdr:sp macro="" textlink="">
      <xdr:nvSpPr>
        <xdr:cNvPr id="8" name="Left Brace 7">
          <a:extLst>
            <a:ext uri="{FF2B5EF4-FFF2-40B4-BE49-F238E27FC236}">
              <a16:creationId xmlns:a16="http://schemas.microsoft.com/office/drawing/2014/main" id="{01EF149D-F74E-5F4D-ADA9-82B5DE00F072}"/>
            </a:ext>
          </a:extLst>
        </xdr:cNvPr>
        <xdr:cNvSpPr/>
      </xdr:nvSpPr>
      <xdr:spPr>
        <a:xfrm rot="16200000">
          <a:off x="13521316999" y="12306534"/>
          <a:ext cx="241770" cy="4507561"/>
        </a:xfrm>
        <a:prstGeom prst="leftBrace">
          <a:avLst/>
        </a:prstGeom>
      </xdr:spPr>
      <xdr:style>
        <a:lnRef idx="3">
          <a:schemeClr val="accent5"/>
        </a:lnRef>
        <a:fillRef idx="0">
          <a:schemeClr val="accent5"/>
        </a:fillRef>
        <a:effectRef idx="2">
          <a:schemeClr val="accent5"/>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25161</xdr:colOff>
      <xdr:row>64</xdr:row>
      <xdr:rowOff>50046</xdr:rowOff>
    </xdr:from>
    <xdr:to>
      <xdr:col>1</xdr:col>
      <xdr:colOff>94076</xdr:colOff>
      <xdr:row>65</xdr:row>
      <xdr:rowOff>16546</xdr:rowOff>
    </xdr:to>
    <xdr:sp macro="" textlink="">
      <xdr:nvSpPr>
        <xdr:cNvPr id="9" name="Down Arrow 8">
          <a:extLst>
            <a:ext uri="{FF2B5EF4-FFF2-40B4-BE49-F238E27FC236}">
              <a16:creationId xmlns:a16="http://schemas.microsoft.com/office/drawing/2014/main" id="{2C824782-BE46-5A40-81FC-FC2400D346B8}"/>
            </a:ext>
          </a:extLst>
        </xdr:cNvPr>
        <xdr:cNvSpPr/>
      </xdr:nvSpPr>
      <xdr:spPr>
        <a:xfrm>
          <a:off x="13524440724" y="13105646"/>
          <a:ext cx="68915" cy="1697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4</xdr:col>
      <xdr:colOff>5879</xdr:colOff>
      <xdr:row>118</xdr:row>
      <xdr:rowOff>147676</xdr:rowOff>
    </xdr:from>
    <xdr:to>
      <xdr:col>7</xdr:col>
      <xdr:colOff>450144</xdr:colOff>
      <xdr:row>126</xdr:row>
      <xdr:rowOff>95013</xdr:rowOff>
    </xdr:to>
    <xdr:pic>
      <xdr:nvPicPr>
        <xdr:cNvPr id="10" name="Picture 9">
          <a:extLst>
            <a:ext uri="{FF2B5EF4-FFF2-40B4-BE49-F238E27FC236}">
              <a16:creationId xmlns:a16="http://schemas.microsoft.com/office/drawing/2014/main" id="{D8A51C6B-BFB2-C744-A421-9F58C6E391F4}"/>
            </a:ext>
          </a:extLst>
        </xdr:cNvPr>
        <xdr:cNvPicPr>
          <a:picLocks noChangeAspect="1"/>
        </xdr:cNvPicPr>
      </xdr:nvPicPr>
      <xdr:blipFill>
        <a:blip xmlns:r="http://schemas.openxmlformats.org/officeDocument/2006/relationships" r:embed="rId3"/>
        <a:stretch>
          <a:fillRect/>
        </a:stretch>
      </xdr:blipFill>
      <xdr:spPr>
        <a:xfrm>
          <a:off x="13518763356" y="24176076"/>
          <a:ext cx="2920765" cy="1572937"/>
        </a:xfrm>
        <a:prstGeom prst="rect">
          <a:avLst/>
        </a:prstGeom>
      </xdr:spPr>
    </xdr:pic>
    <xdr:clientData/>
  </xdr:twoCellAnchor>
  <xdr:twoCellAnchor>
    <xdr:from>
      <xdr:col>2</xdr:col>
      <xdr:colOff>758472</xdr:colOff>
      <xdr:row>124</xdr:row>
      <xdr:rowOff>11759</xdr:rowOff>
    </xdr:from>
    <xdr:to>
      <xdr:col>4</xdr:col>
      <xdr:colOff>252823</xdr:colOff>
      <xdr:row>125</xdr:row>
      <xdr:rowOff>29398</xdr:rowOff>
    </xdr:to>
    <xdr:sp macro="" textlink="">
      <xdr:nvSpPr>
        <xdr:cNvPr id="11" name="Left Arrow 10">
          <a:extLst>
            <a:ext uri="{FF2B5EF4-FFF2-40B4-BE49-F238E27FC236}">
              <a16:creationId xmlns:a16="http://schemas.microsoft.com/office/drawing/2014/main" id="{E88B376D-DF8C-794F-9D36-AFC81350AF52}"/>
            </a:ext>
          </a:extLst>
        </xdr:cNvPr>
        <xdr:cNvSpPr/>
      </xdr:nvSpPr>
      <xdr:spPr>
        <a:xfrm>
          <a:off x="13521437177" y="25259359"/>
          <a:ext cx="1513651" cy="220839"/>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1</xdr:col>
      <xdr:colOff>756497</xdr:colOff>
      <xdr:row>158</xdr:row>
      <xdr:rowOff>29199</xdr:rowOff>
    </xdr:from>
    <xdr:to>
      <xdr:col>4</xdr:col>
      <xdr:colOff>348541</xdr:colOff>
      <xdr:row>161</xdr:row>
      <xdr:rowOff>168401</xdr:rowOff>
    </xdr:to>
    <xdr:pic>
      <xdr:nvPicPr>
        <xdr:cNvPr id="12" name="Picture 11">
          <a:extLst>
            <a:ext uri="{FF2B5EF4-FFF2-40B4-BE49-F238E27FC236}">
              <a16:creationId xmlns:a16="http://schemas.microsoft.com/office/drawing/2014/main" id="{9C523B2E-E461-1D48-B283-CF529AA747D8}"/>
            </a:ext>
          </a:extLst>
        </xdr:cNvPr>
        <xdr:cNvPicPr>
          <a:picLocks noChangeAspect="1"/>
        </xdr:cNvPicPr>
      </xdr:nvPicPr>
      <xdr:blipFill>
        <a:blip xmlns:r="http://schemas.openxmlformats.org/officeDocument/2006/relationships" r:embed="rId4"/>
        <a:stretch>
          <a:fillRect/>
        </a:stretch>
      </xdr:blipFill>
      <xdr:spPr>
        <a:xfrm>
          <a:off x="13521341459" y="32185599"/>
          <a:ext cx="2436844" cy="748802"/>
        </a:xfrm>
        <a:prstGeom prst="rect">
          <a:avLst/>
        </a:prstGeom>
      </xdr:spPr>
    </xdr:pic>
    <xdr:clientData/>
  </xdr:twoCellAnchor>
  <xdr:twoCellAnchor editAs="oneCell">
    <xdr:from>
      <xdr:col>0</xdr:col>
      <xdr:colOff>481408</xdr:colOff>
      <xdr:row>161</xdr:row>
      <xdr:rowOff>171442</xdr:rowOff>
    </xdr:from>
    <xdr:to>
      <xdr:col>5</xdr:col>
      <xdr:colOff>389574</xdr:colOff>
      <xdr:row>164</xdr:row>
      <xdr:rowOff>105497</xdr:rowOff>
    </xdr:to>
    <xdr:pic>
      <xdr:nvPicPr>
        <xdr:cNvPr id="13" name="Picture 12">
          <a:extLst>
            <a:ext uri="{FF2B5EF4-FFF2-40B4-BE49-F238E27FC236}">
              <a16:creationId xmlns:a16="http://schemas.microsoft.com/office/drawing/2014/main" id="{18E6CE46-9949-CC45-8655-FE610509E9E9}"/>
            </a:ext>
          </a:extLst>
        </xdr:cNvPr>
        <xdr:cNvPicPr>
          <a:picLocks noChangeAspect="1"/>
        </xdr:cNvPicPr>
      </xdr:nvPicPr>
      <xdr:blipFill>
        <a:blip xmlns:r="http://schemas.openxmlformats.org/officeDocument/2006/relationships" r:embed="rId5"/>
        <a:stretch>
          <a:fillRect/>
        </a:stretch>
      </xdr:blipFill>
      <xdr:spPr>
        <a:xfrm>
          <a:off x="13520474926" y="32937442"/>
          <a:ext cx="4403966" cy="543655"/>
        </a:xfrm>
        <a:prstGeom prst="rect">
          <a:avLst/>
        </a:prstGeom>
      </xdr:spPr>
    </xdr:pic>
    <xdr:clientData/>
  </xdr:twoCellAnchor>
  <xdr:twoCellAnchor>
    <xdr:from>
      <xdr:col>6</xdr:col>
      <xdr:colOff>728968</xdr:colOff>
      <xdr:row>259</xdr:row>
      <xdr:rowOff>0</xdr:rowOff>
    </xdr:from>
    <xdr:to>
      <xdr:col>7</xdr:col>
      <xdr:colOff>130987</xdr:colOff>
      <xdr:row>260</xdr:row>
      <xdr:rowOff>91121</xdr:rowOff>
    </xdr:to>
    <xdr:cxnSp macro="">
      <xdr:nvCxnSpPr>
        <xdr:cNvPr id="14" name="Straight Arrow Connector 13">
          <a:extLst>
            <a:ext uri="{FF2B5EF4-FFF2-40B4-BE49-F238E27FC236}">
              <a16:creationId xmlns:a16="http://schemas.microsoft.com/office/drawing/2014/main" id="{BBF9716E-A275-264B-86EC-E1FA5A9AF6A2}"/>
            </a:ext>
          </a:extLst>
        </xdr:cNvPr>
        <xdr:cNvCxnSpPr/>
      </xdr:nvCxnSpPr>
      <xdr:spPr>
        <a:xfrm flipH="1">
          <a:off x="13519082513" y="50444400"/>
          <a:ext cx="227519" cy="29432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131862</xdr:colOff>
      <xdr:row>259</xdr:row>
      <xdr:rowOff>14823</xdr:rowOff>
    </xdr:from>
    <xdr:to>
      <xdr:col>6</xdr:col>
      <xdr:colOff>137297</xdr:colOff>
      <xdr:row>260</xdr:row>
      <xdr:rowOff>61784</xdr:rowOff>
    </xdr:to>
    <xdr:cxnSp macro="">
      <xdr:nvCxnSpPr>
        <xdr:cNvPr id="15" name="Straight Arrow Connector 14">
          <a:extLst>
            <a:ext uri="{FF2B5EF4-FFF2-40B4-BE49-F238E27FC236}">
              <a16:creationId xmlns:a16="http://schemas.microsoft.com/office/drawing/2014/main" id="{AC75C7E8-44F8-1A4A-BC17-892B4ED0D173}"/>
            </a:ext>
          </a:extLst>
        </xdr:cNvPr>
        <xdr:cNvCxnSpPr/>
      </xdr:nvCxnSpPr>
      <xdr:spPr>
        <a:xfrm flipH="1">
          <a:off x="13548009892" y="52548201"/>
          <a:ext cx="5435" cy="2494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774528</xdr:colOff>
      <xdr:row>277</xdr:row>
      <xdr:rowOff>71001</xdr:rowOff>
    </xdr:from>
    <xdr:to>
      <xdr:col>5</xdr:col>
      <xdr:colOff>230734</xdr:colOff>
      <xdr:row>290</xdr:row>
      <xdr:rowOff>176678</xdr:rowOff>
    </xdr:to>
    <xdr:pic>
      <xdr:nvPicPr>
        <xdr:cNvPr id="16" name="Picture 15">
          <a:extLst>
            <a:ext uri="{FF2B5EF4-FFF2-40B4-BE49-F238E27FC236}">
              <a16:creationId xmlns:a16="http://schemas.microsoft.com/office/drawing/2014/main" id="{5490B6F8-B254-C440-A28A-8E63DD11572F}"/>
            </a:ext>
          </a:extLst>
        </xdr:cNvPr>
        <xdr:cNvPicPr>
          <a:picLocks noChangeAspect="1"/>
        </xdr:cNvPicPr>
      </xdr:nvPicPr>
      <xdr:blipFill>
        <a:blip xmlns:r="http://schemas.openxmlformats.org/officeDocument/2006/relationships" r:embed="rId6"/>
        <a:stretch>
          <a:fillRect/>
        </a:stretch>
      </xdr:blipFill>
      <xdr:spPr>
        <a:xfrm>
          <a:off x="13520633766" y="54173001"/>
          <a:ext cx="3126506" cy="2747276"/>
        </a:xfrm>
        <a:prstGeom prst="rect">
          <a:avLst/>
        </a:prstGeom>
      </xdr:spPr>
    </xdr:pic>
    <xdr:clientData/>
  </xdr:twoCellAnchor>
  <xdr:twoCellAnchor>
    <xdr:from>
      <xdr:col>4</xdr:col>
      <xdr:colOff>660628</xdr:colOff>
      <xdr:row>278</xdr:row>
      <xdr:rowOff>102511</xdr:rowOff>
    </xdr:from>
    <xdr:to>
      <xdr:col>6</xdr:col>
      <xdr:colOff>757443</xdr:colOff>
      <xdr:row>281</xdr:row>
      <xdr:rowOff>187938</xdr:rowOff>
    </xdr:to>
    <xdr:sp macro="" textlink="">
      <xdr:nvSpPr>
        <xdr:cNvPr id="17" name="Rounded Rectangular Callout 16">
          <a:extLst>
            <a:ext uri="{FF2B5EF4-FFF2-40B4-BE49-F238E27FC236}">
              <a16:creationId xmlns:a16="http://schemas.microsoft.com/office/drawing/2014/main" id="{6B556A7E-4293-8B47-B5DE-C3A9CFF3B39A}"/>
            </a:ext>
          </a:extLst>
        </xdr:cNvPr>
        <xdr:cNvSpPr/>
      </xdr:nvSpPr>
      <xdr:spPr>
        <a:xfrm>
          <a:off x="13519281557" y="54407711"/>
          <a:ext cx="1747815" cy="695027"/>
        </a:xfrm>
        <a:prstGeom prst="wedgeRoundRectCallout">
          <a:avLst>
            <a:gd name="adj1" fmla="val 73630"/>
            <a:gd name="adj2" fmla="val 51118"/>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רגע, שי, אתה אומר שבעסקת אחריות מורחבת צריך להקצות חלק מהתמורה באופן יחסי לרכיב האחריות.שהוא התחייבות ולא הכנסה מיידית</a:t>
          </a:r>
          <a:endParaRPr lang="en-US" sz="800"/>
        </a:p>
      </xdr:txBody>
    </xdr:sp>
    <xdr:clientData/>
  </xdr:twoCellAnchor>
  <xdr:twoCellAnchor>
    <xdr:from>
      <xdr:col>5</xdr:col>
      <xdr:colOff>56951</xdr:colOff>
      <xdr:row>283</xdr:row>
      <xdr:rowOff>85426</xdr:rowOff>
    </xdr:from>
    <xdr:to>
      <xdr:col>7</xdr:col>
      <xdr:colOff>153766</xdr:colOff>
      <xdr:row>286</xdr:row>
      <xdr:rowOff>170853</xdr:rowOff>
    </xdr:to>
    <xdr:sp macro="" textlink="">
      <xdr:nvSpPr>
        <xdr:cNvPr id="18" name="Rounded Rectangular Callout 17">
          <a:extLst>
            <a:ext uri="{FF2B5EF4-FFF2-40B4-BE49-F238E27FC236}">
              <a16:creationId xmlns:a16="http://schemas.microsoft.com/office/drawing/2014/main" id="{B26F5A21-4AFA-5840-9E02-1E41CCE0965F}"/>
            </a:ext>
          </a:extLst>
        </xdr:cNvPr>
        <xdr:cNvSpPr/>
      </xdr:nvSpPr>
      <xdr:spPr>
        <a:xfrm>
          <a:off x="13519059734" y="55406626"/>
          <a:ext cx="1747815" cy="695027"/>
        </a:xfrm>
        <a:prstGeom prst="wedgeRoundRectCallout">
          <a:avLst>
            <a:gd name="adj1" fmla="val 72653"/>
            <a:gd name="adj2" fmla="val -9857"/>
            <a:gd name="adj3" fmla="val 1666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800"/>
            <a:t>אז אם זה כך, מדוע בעסקת אחריות רגילה לא מצאנו רכיב אחריות יחסי והקצנו את כל ה-1,000, ללא הפרדה, להכנסה מקורקינט?</a:t>
          </a:r>
          <a:endParaRPr lang="en-US" sz="800"/>
        </a:p>
      </xdr:txBody>
    </xdr:sp>
    <xdr:clientData/>
  </xdr:twoCellAnchor>
  <xdr:twoCellAnchor>
    <xdr:from>
      <xdr:col>3</xdr:col>
      <xdr:colOff>381569</xdr:colOff>
      <xdr:row>281</xdr:row>
      <xdr:rowOff>176549</xdr:rowOff>
    </xdr:from>
    <xdr:to>
      <xdr:col>3</xdr:col>
      <xdr:colOff>1144708</xdr:colOff>
      <xdr:row>284</xdr:row>
      <xdr:rowOff>199327</xdr:rowOff>
    </xdr:to>
    <xdr:sp macro="" textlink="">
      <xdr:nvSpPr>
        <xdr:cNvPr id="19" name="Rectangle 18">
          <a:extLst>
            <a:ext uri="{FF2B5EF4-FFF2-40B4-BE49-F238E27FC236}">
              <a16:creationId xmlns:a16="http://schemas.microsoft.com/office/drawing/2014/main" id="{ED2F32ED-FC9C-2C4E-8F8E-01E0EE61366E}"/>
            </a:ext>
          </a:extLst>
        </xdr:cNvPr>
        <xdr:cNvSpPr/>
      </xdr:nvSpPr>
      <xdr:spPr>
        <a:xfrm>
          <a:off x="13521739092" y="55091349"/>
          <a:ext cx="763139" cy="6323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900"/>
            <a:t>אין עסקה מקבילה נפרדת</a:t>
          </a:r>
          <a:r>
            <a:rPr lang="he-IL" sz="900" baseline="0"/>
            <a:t> אין פיצול</a:t>
          </a:r>
          <a:endParaRPr lang="en-US" sz="900"/>
        </a:p>
      </xdr:txBody>
    </xdr:sp>
    <xdr:clientData/>
  </xdr:twoCellAnchor>
  <xdr:twoCellAnchor editAs="oneCell">
    <xdr:from>
      <xdr:col>0</xdr:col>
      <xdr:colOff>182242</xdr:colOff>
      <xdr:row>351</xdr:row>
      <xdr:rowOff>59860</xdr:rowOff>
    </xdr:from>
    <xdr:to>
      <xdr:col>4</xdr:col>
      <xdr:colOff>710062</xdr:colOff>
      <xdr:row>357</xdr:row>
      <xdr:rowOff>77225</xdr:rowOff>
    </xdr:to>
    <xdr:pic>
      <xdr:nvPicPr>
        <xdr:cNvPr id="20" name="Picture 19">
          <a:extLst>
            <a:ext uri="{FF2B5EF4-FFF2-40B4-BE49-F238E27FC236}">
              <a16:creationId xmlns:a16="http://schemas.microsoft.com/office/drawing/2014/main" id="{7DD81E57-76A3-EE49-9F9E-52BF9714BDB0}"/>
            </a:ext>
          </a:extLst>
        </xdr:cNvPr>
        <xdr:cNvPicPr>
          <a:picLocks noChangeAspect="1"/>
        </xdr:cNvPicPr>
      </xdr:nvPicPr>
      <xdr:blipFill>
        <a:blip xmlns:r="http://schemas.openxmlformats.org/officeDocument/2006/relationships" r:embed="rId7"/>
        <a:stretch>
          <a:fillRect/>
        </a:stretch>
      </xdr:blipFill>
      <xdr:spPr>
        <a:xfrm>
          <a:off x="13520979938" y="67420660"/>
          <a:ext cx="4198120" cy="1236565"/>
        </a:xfrm>
        <a:prstGeom prst="rect">
          <a:avLst/>
        </a:prstGeom>
      </xdr:spPr>
    </xdr:pic>
    <xdr:clientData/>
  </xdr:twoCellAnchor>
  <xdr:twoCellAnchor editAs="oneCell">
    <xdr:from>
      <xdr:col>0</xdr:col>
      <xdr:colOff>728968</xdr:colOff>
      <xdr:row>378</xdr:row>
      <xdr:rowOff>149608</xdr:rowOff>
    </xdr:from>
    <xdr:to>
      <xdr:col>6</xdr:col>
      <xdr:colOff>313115</xdr:colOff>
      <xdr:row>388</xdr:row>
      <xdr:rowOff>124491</xdr:rowOff>
    </xdr:to>
    <xdr:pic>
      <xdr:nvPicPr>
        <xdr:cNvPr id="21" name="Picture 20">
          <a:extLst>
            <a:ext uri="{FF2B5EF4-FFF2-40B4-BE49-F238E27FC236}">
              <a16:creationId xmlns:a16="http://schemas.microsoft.com/office/drawing/2014/main" id="{B314EDEF-EB76-A949-9969-A0020C1BE07A}"/>
            </a:ext>
          </a:extLst>
        </xdr:cNvPr>
        <xdr:cNvPicPr>
          <a:picLocks noChangeAspect="1"/>
        </xdr:cNvPicPr>
      </xdr:nvPicPr>
      <xdr:blipFill>
        <a:blip xmlns:r="http://schemas.openxmlformats.org/officeDocument/2006/relationships" r:embed="rId8"/>
        <a:stretch>
          <a:fillRect/>
        </a:stretch>
      </xdr:blipFill>
      <xdr:spPr>
        <a:xfrm>
          <a:off x="13519725885" y="70761608"/>
          <a:ext cx="4905447" cy="2006884"/>
        </a:xfrm>
        <a:prstGeom prst="rect">
          <a:avLst/>
        </a:prstGeom>
      </xdr:spPr>
    </xdr:pic>
    <xdr:clientData/>
  </xdr:twoCellAnchor>
  <xdr:twoCellAnchor editAs="oneCell">
    <xdr:from>
      <xdr:col>6</xdr:col>
      <xdr:colOff>806224</xdr:colOff>
      <xdr:row>202</xdr:row>
      <xdr:rowOff>19661</xdr:rowOff>
    </xdr:from>
    <xdr:to>
      <xdr:col>8</xdr:col>
      <xdr:colOff>356839</xdr:colOff>
      <xdr:row>207</xdr:row>
      <xdr:rowOff>115963</xdr:rowOff>
    </xdr:to>
    <xdr:pic>
      <xdr:nvPicPr>
        <xdr:cNvPr id="22" name="Picture 21">
          <a:extLst>
            <a:ext uri="{FF2B5EF4-FFF2-40B4-BE49-F238E27FC236}">
              <a16:creationId xmlns:a16="http://schemas.microsoft.com/office/drawing/2014/main" id="{2DBB9803-CC7F-3A48-2EEF-87D781439C61}"/>
            </a:ext>
          </a:extLst>
        </xdr:cNvPr>
        <xdr:cNvPicPr>
          <a:picLocks noChangeAspect="1"/>
        </xdr:cNvPicPr>
      </xdr:nvPicPr>
      <xdr:blipFill>
        <a:blip xmlns:r="http://schemas.openxmlformats.org/officeDocument/2006/relationships" r:embed="rId9"/>
        <a:stretch>
          <a:fillRect/>
        </a:stretch>
      </xdr:blipFill>
      <xdr:spPr>
        <a:xfrm>
          <a:off x="13546135918" y="41009769"/>
          <a:ext cx="1205047" cy="1108870"/>
        </a:xfrm>
        <a:prstGeom prst="rect">
          <a:avLst/>
        </a:prstGeom>
      </xdr:spPr>
    </xdr:pic>
    <xdr:clientData/>
  </xdr:twoCellAnchor>
  <xdr:twoCellAnchor>
    <xdr:from>
      <xdr:col>7</xdr:col>
      <xdr:colOff>698500</xdr:colOff>
      <xdr:row>204</xdr:row>
      <xdr:rowOff>92808</xdr:rowOff>
    </xdr:from>
    <xdr:to>
      <xdr:col>8</xdr:col>
      <xdr:colOff>532423</xdr:colOff>
      <xdr:row>206</xdr:row>
      <xdr:rowOff>200269</xdr:rowOff>
    </xdr:to>
    <xdr:sp macro="" textlink="">
      <xdr:nvSpPr>
        <xdr:cNvPr id="23" name="Explosion 1 22">
          <a:extLst>
            <a:ext uri="{FF2B5EF4-FFF2-40B4-BE49-F238E27FC236}">
              <a16:creationId xmlns:a16="http://schemas.microsoft.com/office/drawing/2014/main" id="{4A6B2543-CFC5-B1EE-9AA1-A326D27B76B4}"/>
            </a:ext>
          </a:extLst>
        </xdr:cNvPr>
        <xdr:cNvSpPr/>
      </xdr:nvSpPr>
      <xdr:spPr>
        <a:xfrm>
          <a:off x="13517855577" y="40752346"/>
          <a:ext cx="659423" cy="517769"/>
        </a:xfrm>
        <a:prstGeom prst="irregularSeal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566615</xdr:colOff>
      <xdr:row>201</xdr:row>
      <xdr:rowOff>43961</xdr:rowOff>
    </xdr:from>
    <xdr:to>
      <xdr:col>9</xdr:col>
      <xdr:colOff>4885</xdr:colOff>
      <xdr:row>213</xdr:row>
      <xdr:rowOff>112346</xdr:rowOff>
    </xdr:to>
    <xdr:sp macro="" textlink="">
      <xdr:nvSpPr>
        <xdr:cNvPr id="24" name="Rectangle 23">
          <a:extLst>
            <a:ext uri="{FF2B5EF4-FFF2-40B4-BE49-F238E27FC236}">
              <a16:creationId xmlns:a16="http://schemas.microsoft.com/office/drawing/2014/main" id="{0566C902-628A-4DB0-502D-6EB93768A23D}"/>
            </a:ext>
          </a:extLst>
        </xdr:cNvPr>
        <xdr:cNvSpPr/>
      </xdr:nvSpPr>
      <xdr:spPr>
        <a:xfrm>
          <a:off x="13517557615" y="40088038"/>
          <a:ext cx="263770" cy="232507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קיר</a:t>
          </a:r>
          <a:endParaRPr lang="en-US" sz="1100"/>
        </a:p>
      </xdr:txBody>
    </xdr:sp>
    <xdr:clientData/>
  </xdr:twoCellAnchor>
  <xdr:twoCellAnchor>
    <xdr:from>
      <xdr:col>9</xdr:col>
      <xdr:colOff>224419</xdr:colOff>
      <xdr:row>109</xdr:row>
      <xdr:rowOff>107109</xdr:rowOff>
    </xdr:from>
    <xdr:to>
      <xdr:col>11</xdr:col>
      <xdr:colOff>96908</xdr:colOff>
      <xdr:row>112</xdr:row>
      <xdr:rowOff>61206</xdr:rowOff>
    </xdr:to>
    <xdr:sp macro="" textlink="">
      <xdr:nvSpPr>
        <xdr:cNvPr id="25" name="Rectangle 24">
          <a:extLst>
            <a:ext uri="{FF2B5EF4-FFF2-40B4-BE49-F238E27FC236}">
              <a16:creationId xmlns:a16="http://schemas.microsoft.com/office/drawing/2014/main" id="{20B17F6F-D327-EF06-3EA7-DD60802D5C77}"/>
            </a:ext>
          </a:extLst>
        </xdr:cNvPr>
        <xdr:cNvSpPr/>
      </xdr:nvSpPr>
      <xdr:spPr>
        <a:xfrm>
          <a:off x="13528340923" y="22385663"/>
          <a:ext cx="1525020" cy="566145"/>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התחייבויות תלויות</a:t>
          </a:r>
          <a:endParaRPr lang="en-US" sz="1100"/>
        </a:p>
      </xdr:txBody>
    </xdr:sp>
    <xdr:clientData/>
  </xdr:twoCellAnchor>
  <xdr:twoCellAnchor>
    <xdr:from>
      <xdr:col>9</xdr:col>
      <xdr:colOff>295824</xdr:colOff>
      <xdr:row>112</xdr:row>
      <xdr:rowOff>71406</xdr:rowOff>
    </xdr:from>
    <xdr:to>
      <xdr:col>9</xdr:col>
      <xdr:colOff>719157</xdr:colOff>
      <xdr:row>115</xdr:row>
      <xdr:rowOff>153012</xdr:rowOff>
    </xdr:to>
    <xdr:cxnSp macro="">
      <xdr:nvCxnSpPr>
        <xdr:cNvPr id="27" name="Straight Arrow Connector 26">
          <a:extLst>
            <a:ext uri="{FF2B5EF4-FFF2-40B4-BE49-F238E27FC236}">
              <a16:creationId xmlns:a16="http://schemas.microsoft.com/office/drawing/2014/main" id="{73B89BAD-65CD-083F-A26A-837EA9D39E4C}"/>
            </a:ext>
          </a:extLst>
        </xdr:cNvPr>
        <xdr:cNvCxnSpPr/>
      </xdr:nvCxnSpPr>
      <xdr:spPr>
        <a:xfrm>
          <a:off x="13529371205" y="22962008"/>
          <a:ext cx="423333" cy="693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229519</xdr:colOff>
      <xdr:row>115</xdr:row>
      <xdr:rowOff>173413</xdr:rowOff>
    </xdr:from>
    <xdr:to>
      <xdr:col>10</xdr:col>
      <xdr:colOff>102008</xdr:colOff>
      <xdr:row>118</xdr:row>
      <xdr:rowOff>127510</xdr:rowOff>
    </xdr:to>
    <xdr:sp macro="" textlink="">
      <xdr:nvSpPr>
        <xdr:cNvPr id="28" name="Rectangle 27">
          <a:extLst>
            <a:ext uri="{FF2B5EF4-FFF2-40B4-BE49-F238E27FC236}">
              <a16:creationId xmlns:a16="http://schemas.microsoft.com/office/drawing/2014/main" id="{5A98BA11-BFD3-ABD3-D1A8-A3E7611A278F}"/>
            </a:ext>
          </a:extLst>
        </xdr:cNvPr>
        <xdr:cNvSpPr/>
      </xdr:nvSpPr>
      <xdr:spPr>
        <a:xfrm>
          <a:off x="13529162088" y="23676064"/>
          <a:ext cx="1525020" cy="566145"/>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הפרשה</a:t>
          </a:r>
        </a:p>
        <a:p>
          <a:pPr algn="ctr" rtl="1"/>
          <a:r>
            <a:rPr lang="he-IL" sz="1100"/>
            <a:t>הסתברות גבוהה</a:t>
          </a:r>
        </a:p>
        <a:p>
          <a:pPr algn="ctr" rtl="1"/>
          <a:r>
            <a:rPr lang="he-IL" sz="1100"/>
            <a:t>סכום/עיתוי לא ודאי</a:t>
          </a:r>
          <a:endParaRPr lang="en-US" sz="1100"/>
        </a:p>
      </xdr:txBody>
    </xdr:sp>
    <xdr:clientData/>
  </xdr:twoCellAnchor>
  <xdr:twoCellAnchor>
    <xdr:from>
      <xdr:col>10</xdr:col>
      <xdr:colOff>423333</xdr:colOff>
      <xdr:row>112</xdr:row>
      <xdr:rowOff>45904</xdr:rowOff>
    </xdr:from>
    <xdr:to>
      <xdr:col>11</xdr:col>
      <xdr:colOff>153012</xdr:colOff>
      <xdr:row>115</xdr:row>
      <xdr:rowOff>193815</xdr:rowOff>
    </xdr:to>
    <xdr:cxnSp macro="">
      <xdr:nvCxnSpPr>
        <xdr:cNvPr id="29" name="Straight Arrow Connector 28">
          <a:extLst>
            <a:ext uri="{FF2B5EF4-FFF2-40B4-BE49-F238E27FC236}">
              <a16:creationId xmlns:a16="http://schemas.microsoft.com/office/drawing/2014/main" id="{D065B904-C8D3-C181-3506-828C92EA44FB}"/>
            </a:ext>
          </a:extLst>
        </xdr:cNvPr>
        <xdr:cNvCxnSpPr/>
      </xdr:nvCxnSpPr>
      <xdr:spPr>
        <a:xfrm flipH="1">
          <a:off x="13528284819" y="22936506"/>
          <a:ext cx="555944" cy="7599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566145</xdr:colOff>
      <xdr:row>116</xdr:row>
      <xdr:rowOff>5100</xdr:rowOff>
    </xdr:from>
    <xdr:to>
      <xdr:col>12</xdr:col>
      <xdr:colOff>438635</xdr:colOff>
      <xdr:row>118</xdr:row>
      <xdr:rowOff>163213</xdr:rowOff>
    </xdr:to>
    <xdr:sp macro="" textlink="">
      <xdr:nvSpPr>
        <xdr:cNvPr id="32" name="Rectangle 31">
          <a:extLst>
            <a:ext uri="{FF2B5EF4-FFF2-40B4-BE49-F238E27FC236}">
              <a16:creationId xmlns:a16="http://schemas.microsoft.com/office/drawing/2014/main" id="{DCC86924-C2A4-0670-632B-928CF6991DE5}"/>
            </a:ext>
          </a:extLst>
        </xdr:cNvPr>
        <xdr:cNvSpPr/>
      </xdr:nvSpPr>
      <xdr:spPr>
        <a:xfrm>
          <a:off x="13527172931" y="23711767"/>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התחייבויות תלויות ״רגילות״</a:t>
          </a:r>
          <a:endParaRPr lang="en-US" sz="1100"/>
        </a:p>
      </xdr:txBody>
    </xdr:sp>
    <xdr:clientData/>
  </xdr:twoCellAnchor>
  <xdr:twoCellAnchor>
    <xdr:from>
      <xdr:col>11</xdr:col>
      <xdr:colOff>668153</xdr:colOff>
      <xdr:row>118</xdr:row>
      <xdr:rowOff>163212</xdr:rowOff>
    </xdr:from>
    <xdr:to>
      <xdr:col>12</xdr:col>
      <xdr:colOff>397832</xdr:colOff>
      <xdr:row>122</xdr:row>
      <xdr:rowOff>107108</xdr:rowOff>
    </xdr:to>
    <xdr:cxnSp macro="">
      <xdr:nvCxnSpPr>
        <xdr:cNvPr id="33" name="Straight Arrow Connector 32">
          <a:extLst>
            <a:ext uri="{FF2B5EF4-FFF2-40B4-BE49-F238E27FC236}">
              <a16:creationId xmlns:a16="http://schemas.microsoft.com/office/drawing/2014/main" id="{E0FAC187-0DF2-ADE1-DA11-53C50DAEB8DA}"/>
            </a:ext>
          </a:extLst>
        </xdr:cNvPr>
        <xdr:cNvCxnSpPr/>
      </xdr:nvCxnSpPr>
      <xdr:spPr>
        <a:xfrm flipH="1">
          <a:off x="13527213734" y="24277911"/>
          <a:ext cx="555944" cy="7599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632450</xdr:colOff>
      <xdr:row>122</xdr:row>
      <xdr:rowOff>147912</xdr:rowOff>
    </xdr:from>
    <xdr:to>
      <xdr:col>13</xdr:col>
      <xdr:colOff>504940</xdr:colOff>
      <xdr:row>125</xdr:row>
      <xdr:rowOff>102009</xdr:rowOff>
    </xdr:to>
    <xdr:sp macro="" textlink="">
      <xdr:nvSpPr>
        <xdr:cNvPr id="34" name="Rectangle 33">
          <a:extLst>
            <a:ext uri="{FF2B5EF4-FFF2-40B4-BE49-F238E27FC236}">
              <a16:creationId xmlns:a16="http://schemas.microsoft.com/office/drawing/2014/main" id="{263F85A7-1D8A-58AE-78E4-10B942082EE5}"/>
            </a:ext>
          </a:extLst>
        </xdr:cNvPr>
        <xdr:cNvSpPr/>
      </xdr:nvSpPr>
      <xdr:spPr>
        <a:xfrm>
          <a:off x="13526280361" y="25078675"/>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הסתברות לא קלושה</a:t>
          </a:r>
          <a:endParaRPr lang="en-US" sz="1100"/>
        </a:p>
      </xdr:txBody>
    </xdr:sp>
    <xdr:clientData/>
  </xdr:twoCellAnchor>
  <xdr:twoCellAnchor>
    <xdr:from>
      <xdr:col>10</xdr:col>
      <xdr:colOff>663053</xdr:colOff>
      <xdr:row>118</xdr:row>
      <xdr:rowOff>178514</xdr:rowOff>
    </xdr:from>
    <xdr:to>
      <xdr:col>11</xdr:col>
      <xdr:colOff>321325</xdr:colOff>
      <xdr:row>122</xdr:row>
      <xdr:rowOff>142810</xdr:rowOff>
    </xdr:to>
    <xdr:cxnSp macro="">
      <xdr:nvCxnSpPr>
        <xdr:cNvPr id="35" name="Straight Arrow Connector 34">
          <a:extLst>
            <a:ext uri="{FF2B5EF4-FFF2-40B4-BE49-F238E27FC236}">
              <a16:creationId xmlns:a16="http://schemas.microsoft.com/office/drawing/2014/main" id="{9DBCF422-2BC4-6FD3-DC43-A84E3AC0DD9F}"/>
            </a:ext>
          </a:extLst>
        </xdr:cNvPr>
        <xdr:cNvCxnSpPr/>
      </xdr:nvCxnSpPr>
      <xdr:spPr>
        <a:xfrm>
          <a:off x="13528116506" y="24293213"/>
          <a:ext cx="484537" cy="7803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448837</xdr:colOff>
      <xdr:row>122</xdr:row>
      <xdr:rowOff>173414</xdr:rowOff>
    </xdr:from>
    <xdr:to>
      <xdr:col>11</xdr:col>
      <xdr:colOff>321326</xdr:colOff>
      <xdr:row>125</xdr:row>
      <xdr:rowOff>127511</xdr:rowOff>
    </xdr:to>
    <xdr:sp macro="" textlink="">
      <xdr:nvSpPr>
        <xdr:cNvPr id="37" name="Rectangle 36">
          <a:extLst>
            <a:ext uri="{FF2B5EF4-FFF2-40B4-BE49-F238E27FC236}">
              <a16:creationId xmlns:a16="http://schemas.microsoft.com/office/drawing/2014/main" id="{65E6C7D4-2E10-C892-AB7B-8513DDDF1031}"/>
            </a:ext>
          </a:extLst>
        </xdr:cNvPr>
        <xdr:cNvSpPr/>
      </xdr:nvSpPr>
      <xdr:spPr>
        <a:xfrm>
          <a:off x="13528116505" y="25104177"/>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ההסתברות קלושה</a:t>
          </a:r>
        </a:p>
        <a:p>
          <a:pPr algn="ctr" rtl="1"/>
          <a:r>
            <a:rPr lang="he-IL" sz="1100"/>
            <a:t>או השפעה זניחה</a:t>
          </a:r>
          <a:endParaRPr lang="en-US" sz="1100"/>
        </a:p>
      </xdr:txBody>
    </xdr:sp>
    <xdr:clientData/>
  </xdr:twoCellAnchor>
  <xdr:twoCellAnchor>
    <xdr:from>
      <xdr:col>10</xdr:col>
      <xdr:colOff>408032</xdr:colOff>
      <xdr:row>125</xdr:row>
      <xdr:rowOff>35703</xdr:rowOff>
    </xdr:from>
    <xdr:to>
      <xdr:col>10</xdr:col>
      <xdr:colOff>423333</xdr:colOff>
      <xdr:row>128</xdr:row>
      <xdr:rowOff>30603</xdr:rowOff>
    </xdr:to>
    <xdr:cxnSp macro="">
      <xdr:nvCxnSpPr>
        <xdr:cNvPr id="38" name="Straight Arrow Connector 37">
          <a:extLst>
            <a:ext uri="{FF2B5EF4-FFF2-40B4-BE49-F238E27FC236}">
              <a16:creationId xmlns:a16="http://schemas.microsoft.com/office/drawing/2014/main" id="{B9D211DC-5B38-99F9-AA3E-67A31D5FC2F2}"/>
            </a:ext>
          </a:extLst>
        </xdr:cNvPr>
        <xdr:cNvCxnSpPr/>
      </xdr:nvCxnSpPr>
      <xdr:spPr>
        <a:xfrm flipH="1">
          <a:off x="13528840763" y="25578514"/>
          <a:ext cx="15301" cy="60694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459037</xdr:colOff>
      <xdr:row>128</xdr:row>
      <xdr:rowOff>66306</xdr:rowOff>
    </xdr:from>
    <xdr:to>
      <xdr:col>11</xdr:col>
      <xdr:colOff>331526</xdr:colOff>
      <xdr:row>131</xdr:row>
      <xdr:rowOff>20402</xdr:rowOff>
    </xdr:to>
    <xdr:sp macro="" textlink="">
      <xdr:nvSpPr>
        <xdr:cNvPr id="40" name="Rectangle 39">
          <a:extLst>
            <a:ext uri="{FF2B5EF4-FFF2-40B4-BE49-F238E27FC236}">
              <a16:creationId xmlns:a16="http://schemas.microsoft.com/office/drawing/2014/main" id="{74FF917F-21EF-37C1-7FAE-0C7B6A21BFCD}"/>
            </a:ext>
          </a:extLst>
        </xdr:cNvPr>
        <xdr:cNvSpPr/>
      </xdr:nvSpPr>
      <xdr:spPr>
        <a:xfrm>
          <a:off x="13528106305" y="26221165"/>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 מוצג בדוח, לא נותן גילוי בביאורים</a:t>
          </a:r>
          <a:endParaRPr lang="en-US" sz="1100"/>
        </a:p>
      </xdr:txBody>
    </xdr:sp>
    <xdr:clientData/>
  </xdr:twoCellAnchor>
  <xdr:twoCellAnchor>
    <xdr:from>
      <xdr:col>12</xdr:col>
      <xdr:colOff>561044</xdr:colOff>
      <xdr:row>125</xdr:row>
      <xdr:rowOff>61205</xdr:rowOff>
    </xdr:from>
    <xdr:to>
      <xdr:col>12</xdr:col>
      <xdr:colOff>576345</xdr:colOff>
      <xdr:row>128</xdr:row>
      <xdr:rowOff>56105</xdr:rowOff>
    </xdr:to>
    <xdr:cxnSp macro="">
      <xdr:nvCxnSpPr>
        <xdr:cNvPr id="41" name="Straight Arrow Connector 40">
          <a:extLst>
            <a:ext uri="{FF2B5EF4-FFF2-40B4-BE49-F238E27FC236}">
              <a16:creationId xmlns:a16="http://schemas.microsoft.com/office/drawing/2014/main" id="{230CAB41-2629-7C0F-3F46-92C8F38C01FD}"/>
            </a:ext>
          </a:extLst>
        </xdr:cNvPr>
        <xdr:cNvCxnSpPr/>
      </xdr:nvCxnSpPr>
      <xdr:spPr>
        <a:xfrm flipH="1">
          <a:off x="13527035221" y="25604016"/>
          <a:ext cx="15301" cy="60694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11</xdr:col>
      <xdr:colOff>678353</xdr:colOff>
      <xdr:row>128</xdr:row>
      <xdr:rowOff>61205</xdr:rowOff>
    </xdr:from>
    <xdr:to>
      <xdr:col>13</xdr:col>
      <xdr:colOff>550843</xdr:colOff>
      <xdr:row>131</xdr:row>
      <xdr:rowOff>15301</xdr:rowOff>
    </xdr:to>
    <xdr:sp macro="" textlink="">
      <xdr:nvSpPr>
        <xdr:cNvPr id="42" name="Rectangle 41">
          <a:extLst>
            <a:ext uri="{FF2B5EF4-FFF2-40B4-BE49-F238E27FC236}">
              <a16:creationId xmlns:a16="http://schemas.microsoft.com/office/drawing/2014/main" id="{F56EC2B6-70D9-18A6-BD24-FE140DC2A3F3}"/>
            </a:ext>
          </a:extLst>
        </xdr:cNvPr>
        <xdr:cNvSpPr/>
      </xdr:nvSpPr>
      <xdr:spPr>
        <a:xfrm>
          <a:off x="13526234458" y="26216064"/>
          <a:ext cx="1525020" cy="5661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לא מוצג בדוח, אך</a:t>
          </a:r>
        </a:p>
        <a:p>
          <a:pPr algn="ctr" rtl="1"/>
          <a:r>
            <a:rPr lang="he-IL" sz="1100"/>
            <a:t>אעניק גילוי בביאורים</a:t>
          </a:r>
          <a:endParaRPr lang="en-US" sz="1100"/>
        </a:p>
      </xdr:txBody>
    </xdr:sp>
    <xdr:clientData/>
  </xdr:twoCellAnchor>
  <xdr:twoCellAnchor>
    <xdr:from>
      <xdr:col>8</xdr:col>
      <xdr:colOff>158114</xdr:colOff>
      <xdr:row>118</xdr:row>
      <xdr:rowOff>127510</xdr:rowOff>
    </xdr:from>
    <xdr:to>
      <xdr:col>8</xdr:col>
      <xdr:colOff>581447</xdr:colOff>
      <xdr:row>122</xdr:row>
      <xdr:rowOff>5101</xdr:rowOff>
    </xdr:to>
    <xdr:cxnSp macro="">
      <xdr:nvCxnSpPr>
        <xdr:cNvPr id="43" name="Straight Arrow Connector 42">
          <a:extLst>
            <a:ext uri="{FF2B5EF4-FFF2-40B4-BE49-F238E27FC236}">
              <a16:creationId xmlns:a16="http://schemas.microsoft.com/office/drawing/2014/main" id="{34A827D6-8A36-B4BD-C799-E032968E3FC8}"/>
            </a:ext>
          </a:extLst>
        </xdr:cNvPr>
        <xdr:cNvCxnSpPr/>
      </xdr:nvCxnSpPr>
      <xdr:spPr>
        <a:xfrm>
          <a:off x="13530335180" y="24242209"/>
          <a:ext cx="423333" cy="69365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7</xdr:col>
      <xdr:colOff>413134</xdr:colOff>
      <xdr:row>122</xdr:row>
      <xdr:rowOff>71406</xdr:rowOff>
    </xdr:from>
    <xdr:to>
      <xdr:col>9</xdr:col>
      <xdr:colOff>285624</xdr:colOff>
      <xdr:row>126</xdr:row>
      <xdr:rowOff>127510</xdr:rowOff>
    </xdr:to>
    <xdr:sp macro="" textlink="">
      <xdr:nvSpPr>
        <xdr:cNvPr id="44" name="Rectangle 43">
          <a:extLst>
            <a:ext uri="{FF2B5EF4-FFF2-40B4-BE49-F238E27FC236}">
              <a16:creationId xmlns:a16="http://schemas.microsoft.com/office/drawing/2014/main" id="{CA654C82-F803-D583-A3C3-4EC57DA8E9C4}"/>
            </a:ext>
          </a:extLst>
        </xdr:cNvPr>
        <xdr:cNvSpPr/>
      </xdr:nvSpPr>
      <xdr:spPr>
        <a:xfrm>
          <a:off x="13529804738" y="25002169"/>
          <a:ext cx="1525020" cy="872168"/>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יוכר בדוח וגם יינתן גילוי אלא אם כן לא ניתן לאמוד (נדיר) ואז גילוי בלבד</a:t>
          </a:r>
          <a:endParaRPr lang="en-US" sz="1100"/>
        </a:p>
      </xdr:txBody>
    </xdr:sp>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www.iasb.org.il/upload/TFDPGG7868&#1508;&#1512;&#1511;_58.pdf"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www.iasb.org.il/upload/TFDPGG7868&#1508;&#1512;&#1511;_58.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901586-584C-2649-B799-4D5CE0053381}">
  <dimension ref="A1:P714"/>
  <sheetViews>
    <sheetView rightToLeft="1" topLeftCell="A696" zoomScale="334" zoomScaleNormal="310" workbookViewId="0">
      <selection activeCell="E453" sqref="E453"/>
    </sheetView>
  </sheetViews>
  <sheetFormatPr baseColWidth="10" defaultRowHeight="16" x14ac:dyDescent="0.2"/>
  <cols>
    <col min="1" max="5" width="10.83203125" style="1"/>
    <col min="6" max="6" width="11.1640625" style="1" bestFit="1" customWidth="1"/>
    <col min="7" max="7" width="10.83203125" style="1"/>
    <col min="8" max="8" width="13" style="1" bestFit="1" customWidth="1"/>
    <col min="9" max="15" width="10.83203125" style="1"/>
    <col min="16" max="16" width="11.1640625" style="1" bestFit="1" customWidth="1"/>
    <col min="17" max="16384" width="10.83203125" style="1"/>
  </cols>
  <sheetData>
    <row r="1" spans="1:8" s="3" customFormat="1" ht="21" x14ac:dyDescent="0.25">
      <c r="A1" s="3" t="s">
        <v>0</v>
      </c>
      <c r="D1" s="18"/>
      <c r="H1" s="258">
        <v>45600</v>
      </c>
    </row>
    <row r="2" spans="1:8" ht="17" thickBot="1" x14ac:dyDescent="0.25"/>
    <row r="3" spans="1:8" x14ac:dyDescent="0.2">
      <c r="A3" s="31" t="s">
        <v>2022</v>
      </c>
      <c r="B3" s="32"/>
      <c r="C3" s="32"/>
      <c r="D3" s="32"/>
      <c r="E3" s="32"/>
      <c r="F3" s="32"/>
      <c r="G3" s="32"/>
      <c r="H3" s="33"/>
    </row>
    <row r="4" spans="1:8" x14ac:dyDescent="0.2">
      <c r="A4" s="34" t="s">
        <v>3297</v>
      </c>
      <c r="H4" s="35"/>
    </row>
    <row r="5" spans="1:8" x14ac:dyDescent="0.2">
      <c r="A5" s="34" t="s">
        <v>3298</v>
      </c>
      <c r="H5" s="35"/>
    </row>
    <row r="6" spans="1:8" ht="17" thickBot="1" x14ac:dyDescent="0.25">
      <c r="A6" s="36" t="s">
        <v>3299</v>
      </c>
      <c r="B6" s="37"/>
      <c r="C6" s="37"/>
      <c r="D6" s="37"/>
      <c r="E6" s="37"/>
      <c r="F6" s="37"/>
      <c r="G6" s="37"/>
      <c r="H6" s="38"/>
    </row>
    <row r="8" spans="1:8" x14ac:dyDescent="0.2">
      <c r="A8" s="4" t="s">
        <v>1</v>
      </c>
      <c r="B8" s="5"/>
      <c r="C8" s="5"/>
      <c r="D8" s="5"/>
      <c r="E8" s="5"/>
      <c r="F8" s="5"/>
      <c r="G8" s="5"/>
      <c r="H8" s="5"/>
    </row>
    <row r="10" spans="1:8" x14ac:dyDescent="0.2">
      <c r="A10" s="1" t="s">
        <v>2</v>
      </c>
    </row>
    <row r="11" spans="1:8" x14ac:dyDescent="0.2">
      <c r="A11" s="1" t="s">
        <v>3</v>
      </c>
    </row>
    <row r="12" spans="1:8" x14ac:dyDescent="0.2">
      <c r="A12" s="1" t="s">
        <v>2501</v>
      </c>
    </row>
    <row r="14" spans="1:8" x14ac:dyDescent="0.2">
      <c r="A14" s="3" t="s">
        <v>4</v>
      </c>
    </row>
    <row r="16" spans="1:8" x14ac:dyDescent="0.2">
      <c r="A16" s="1" t="s">
        <v>5</v>
      </c>
    </row>
    <row r="17" spans="1:16" x14ac:dyDescent="0.2">
      <c r="A17" s="1" t="s">
        <v>6</v>
      </c>
      <c r="H17" s="1" t="s">
        <v>8</v>
      </c>
    </row>
    <row r="18" spans="1:16" ht="17" thickBot="1" x14ac:dyDescent="0.25">
      <c r="A18" s="1" t="s">
        <v>7</v>
      </c>
      <c r="H18" s="1" t="s">
        <v>9</v>
      </c>
    </row>
    <row r="19" spans="1:16" x14ac:dyDescent="0.2">
      <c r="A19" s="46" t="s">
        <v>3301</v>
      </c>
      <c r="B19" s="32"/>
      <c r="C19" s="32"/>
      <c r="D19" s="32"/>
      <c r="E19" s="32"/>
      <c r="F19" s="32"/>
      <c r="G19" s="32"/>
      <c r="H19" s="33" t="s">
        <v>10</v>
      </c>
    </row>
    <row r="20" spans="1:16" x14ac:dyDescent="0.2">
      <c r="A20" s="34"/>
      <c r="B20" s="1" t="s">
        <v>11</v>
      </c>
      <c r="H20" s="35"/>
    </row>
    <row r="21" spans="1:16" ht="17" thickBot="1" x14ac:dyDescent="0.25">
      <c r="A21" s="36"/>
      <c r="B21" s="37" t="s">
        <v>3300</v>
      </c>
      <c r="C21" s="37"/>
      <c r="D21" s="37"/>
      <c r="E21" s="37"/>
      <c r="F21" s="37"/>
      <c r="G21" s="37"/>
      <c r="H21" s="38"/>
    </row>
    <row r="23" spans="1:16" x14ac:dyDescent="0.2">
      <c r="A23" s="1" t="s">
        <v>2502</v>
      </c>
    </row>
    <row r="24" spans="1:16" x14ac:dyDescent="0.2">
      <c r="A24" s="1" t="s">
        <v>12</v>
      </c>
    </row>
    <row r="25" spans="1:16" x14ac:dyDescent="0.2">
      <c r="A25" s="1" t="s">
        <v>13</v>
      </c>
    </row>
    <row r="27" spans="1:16" x14ac:dyDescent="0.2">
      <c r="A27" s="3" t="s">
        <v>14</v>
      </c>
      <c r="P27" s="1">
        <v>6302238641</v>
      </c>
    </row>
    <row r="29" spans="1:16" x14ac:dyDescent="0.2">
      <c r="A29" s="1" t="s">
        <v>2503</v>
      </c>
    </row>
    <row r="31" spans="1:16" x14ac:dyDescent="0.2">
      <c r="A31" s="1" t="s">
        <v>2512</v>
      </c>
    </row>
    <row r="32" spans="1:16" x14ac:dyDescent="0.2">
      <c r="A32" s="1" t="s">
        <v>2504</v>
      </c>
    </row>
    <row r="34" spans="1:8" x14ac:dyDescent="0.2">
      <c r="B34" s="1" t="s">
        <v>2505</v>
      </c>
    </row>
    <row r="35" spans="1:8" x14ac:dyDescent="0.2">
      <c r="B35" s="1" t="s">
        <v>2506</v>
      </c>
    </row>
    <row r="36" spans="1:8" x14ac:dyDescent="0.2">
      <c r="B36" s="1" t="s">
        <v>2507</v>
      </c>
    </row>
    <row r="37" spans="1:8" x14ac:dyDescent="0.2">
      <c r="B37" s="1" t="s">
        <v>2508</v>
      </c>
    </row>
    <row r="38" spans="1:8" x14ac:dyDescent="0.2">
      <c r="B38" s="1" t="s">
        <v>2509</v>
      </c>
    </row>
    <row r="39" spans="1:8" x14ac:dyDescent="0.2">
      <c r="B39" s="1" t="s">
        <v>2510</v>
      </c>
    </row>
    <row r="40" spans="1:8" x14ac:dyDescent="0.2">
      <c r="B40" s="1" t="s">
        <v>2511</v>
      </c>
    </row>
    <row r="41" spans="1:8" ht="17" thickBot="1" x14ac:dyDescent="0.25"/>
    <row r="42" spans="1:8" x14ac:dyDescent="0.2">
      <c r="A42" s="46" t="s">
        <v>2513</v>
      </c>
      <c r="B42" s="32"/>
      <c r="C42" s="32"/>
      <c r="D42" s="32"/>
      <c r="E42" s="32"/>
      <c r="F42" s="32"/>
      <c r="G42" s="32"/>
      <c r="H42" s="33"/>
    </row>
    <row r="43" spans="1:8" x14ac:dyDescent="0.2">
      <c r="A43" s="34" t="s">
        <v>15</v>
      </c>
      <c r="H43" s="35"/>
    </row>
    <row r="44" spans="1:8" x14ac:dyDescent="0.2">
      <c r="A44" s="34" t="s">
        <v>16</v>
      </c>
      <c r="H44" s="35"/>
    </row>
    <row r="45" spans="1:8" x14ac:dyDescent="0.2">
      <c r="A45" s="34"/>
      <c r="H45" s="35"/>
    </row>
    <row r="46" spans="1:8" ht="17" thickBot="1" x14ac:dyDescent="0.25">
      <c r="A46" s="80" t="s">
        <v>2514</v>
      </c>
      <c r="B46" s="37"/>
      <c r="C46" s="37"/>
      <c r="D46" s="37"/>
      <c r="E46" s="37"/>
      <c r="F46" s="37"/>
      <c r="G46" s="37"/>
      <c r="H46" s="38"/>
    </row>
    <row r="48" spans="1:8" x14ac:dyDescent="0.2">
      <c r="A48" s="3" t="s">
        <v>17</v>
      </c>
    </row>
    <row r="49" spans="1:8" x14ac:dyDescent="0.2">
      <c r="A49" s="1" t="s">
        <v>18</v>
      </c>
    </row>
    <row r="50" spans="1:8" x14ac:dyDescent="0.2">
      <c r="C50" s="331" t="s">
        <v>19</v>
      </c>
      <c r="D50" s="331"/>
      <c r="E50" s="331"/>
      <c r="F50" s="331"/>
      <c r="G50" s="331"/>
    </row>
    <row r="52" spans="1:8" x14ac:dyDescent="0.2">
      <c r="A52" s="1" t="s">
        <v>24</v>
      </c>
      <c r="H52" s="1" t="s">
        <v>26</v>
      </c>
    </row>
    <row r="53" spans="1:8" x14ac:dyDescent="0.2">
      <c r="A53" s="1" t="s">
        <v>25</v>
      </c>
      <c r="C53" s="6" t="s">
        <v>20</v>
      </c>
      <c r="D53" s="6" t="s">
        <v>34</v>
      </c>
      <c r="E53" s="6" t="s">
        <v>34</v>
      </c>
      <c r="F53" s="5" t="s">
        <v>33</v>
      </c>
      <c r="G53" s="5" t="s">
        <v>31</v>
      </c>
      <c r="H53" s="1" t="s">
        <v>25</v>
      </c>
    </row>
    <row r="54" spans="1:8" x14ac:dyDescent="0.2">
      <c r="A54" s="1" t="s">
        <v>27</v>
      </c>
      <c r="C54" s="6" t="s">
        <v>21</v>
      </c>
      <c r="D54" s="6" t="s">
        <v>35</v>
      </c>
      <c r="E54" s="6" t="s">
        <v>35</v>
      </c>
      <c r="F54" s="5"/>
      <c r="G54" s="5" t="s">
        <v>32</v>
      </c>
      <c r="H54" s="1" t="s">
        <v>2515</v>
      </c>
    </row>
    <row r="55" spans="1:8" x14ac:dyDescent="0.2">
      <c r="A55" s="1" t="s">
        <v>28</v>
      </c>
      <c r="C55" s="6" t="s">
        <v>22</v>
      </c>
      <c r="D55" s="6" t="s">
        <v>2517</v>
      </c>
      <c r="E55" s="6" t="s">
        <v>36</v>
      </c>
      <c r="F55" s="5"/>
      <c r="G55" s="5"/>
      <c r="H55" s="1" t="s">
        <v>2516</v>
      </c>
    </row>
    <row r="56" spans="1:8" x14ac:dyDescent="0.2">
      <c r="A56" s="1" t="s">
        <v>29</v>
      </c>
      <c r="C56" s="6" t="s">
        <v>23</v>
      </c>
      <c r="D56" s="6" t="s">
        <v>37</v>
      </c>
      <c r="E56" s="6" t="s">
        <v>37</v>
      </c>
      <c r="F56" s="5" t="s">
        <v>43</v>
      </c>
      <c r="G56" s="5"/>
      <c r="H56" s="1" t="s">
        <v>29</v>
      </c>
    </row>
    <row r="57" spans="1:8" x14ac:dyDescent="0.2">
      <c r="A57" s="1" t="s">
        <v>30</v>
      </c>
      <c r="C57" s="6"/>
      <c r="D57" s="6" t="s">
        <v>2518</v>
      </c>
      <c r="E57" s="6" t="s">
        <v>38</v>
      </c>
      <c r="F57" s="5" t="s">
        <v>39</v>
      </c>
      <c r="G57" s="5"/>
      <c r="H57" s="1" t="s">
        <v>30</v>
      </c>
    </row>
    <row r="58" spans="1:8" x14ac:dyDescent="0.2">
      <c r="C58" s="6"/>
      <c r="D58" s="6"/>
      <c r="E58" s="6"/>
      <c r="F58" s="5" t="s">
        <v>40</v>
      </c>
      <c r="G58" s="5"/>
    </row>
    <row r="59" spans="1:8" x14ac:dyDescent="0.2">
      <c r="C59" s="6" t="s">
        <v>41</v>
      </c>
      <c r="D59" s="6"/>
      <c r="E59" s="6"/>
    </row>
    <row r="60" spans="1:8" x14ac:dyDescent="0.2">
      <c r="C60" s="6" t="s">
        <v>42</v>
      </c>
      <c r="D60" s="6"/>
      <c r="E60" s="6"/>
    </row>
    <row r="61" spans="1:8" x14ac:dyDescent="0.2">
      <c r="C61" s="6" t="s">
        <v>44</v>
      </c>
      <c r="D61" s="6"/>
      <c r="E61" s="6"/>
    </row>
    <row r="63" spans="1:8" x14ac:dyDescent="0.2">
      <c r="A63" s="3" t="s">
        <v>45</v>
      </c>
    </row>
    <row r="65" spans="1:7" x14ac:dyDescent="0.2">
      <c r="A65" s="1" t="s">
        <v>2519</v>
      </c>
    </row>
    <row r="66" spans="1:7" x14ac:dyDescent="0.2">
      <c r="A66" s="1" t="s">
        <v>2520</v>
      </c>
    </row>
    <row r="68" spans="1:7" ht="17" thickBot="1" x14ac:dyDescent="0.25"/>
    <row r="69" spans="1:7" x14ac:dyDescent="0.2">
      <c r="C69" s="198" t="s">
        <v>46</v>
      </c>
      <c r="E69" s="198" t="s">
        <v>46</v>
      </c>
    </row>
    <row r="70" spans="1:7" ht="17" thickBot="1" x14ac:dyDescent="0.25">
      <c r="C70" s="200" t="s">
        <v>47</v>
      </c>
      <c r="E70" s="199" t="s">
        <v>58</v>
      </c>
    </row>
    <row r="71" spans="1:7" ht="17" thickBot="1" x14ac:dyDescent="0.25">
      <c r="C71" s="7"/>
      <c r="E71" s="200" t="s">
        <v>59</v>
      </c>
    </row>
    <row r="72" spans="1:7" ht="17" thickBot="1" x14ac:dyDescent="0.25">
      <c r="C72" s="1" t="s">
        <v>48</v>
      </c>
    </row>
    <row r="73" spans="1:7" x14ac:dyDescent="0.2">
      <c r="C73" s="1" t="s">
        <v>49</v>
      </c>
      <c r="E73" s="196" t="s">
        <v>60</v>
      </c>
    </row>
    <row r="74" spans="1:7" x14ac:dyDescent="0.2">
      <c r="C74" s="1" t="s">
        <v>50</v>
      </c>
      <c r="E74" s="201" t="s">
        <v>50</v>
      </c>
    </row>
    <row r="75" spans="1:7" ht="17" thickBot="1" x14ac:dyDescent="0.25">
      <c r="C75" s="1" t="s">
        <v>51</v>
      </c>
      <c r="E75" s="197" t="s">
        <v>51</v>
      </c>
    </row>
    <row r="76" spans="1:7" ht="17" thickBot="1" x14ac:dyDescent="0.25"/>
    <row r="77" spans="1:7" x14ac:dyDescent="0.2">
      <c r="C77" s="3" t="s">
        <v>52</v>
      </c>
      <c r="E77" s="46" t="s">
        <v>61</v>
      </c>
      <c r="F77" s="32"/>
      <c r="G77" s="33"/>
    </row>
    <row r="78" spans="1:7" x14ac:dyDescent="0.2">
      <c r="C78" s="3" t="s">
        <v>53</v>
      </c>
      <c r="E78" s="34" t="s">
        <v>62</v>
      </c>
      <c r="G78" s="35"/>
    </row>
    <row r="79" spans="1:7" x14ac:dyDescent="0.2">
      <c r="C79" s="3" t="s">
        <v>54</v>
      </c>
      <c r="E79" s="34" t="s">
        <v>63</v>
      </c>
      <c r="G79" s="35"/>
    </row>
    <row r="80" spans="1:7" ht="17" thickBot="1" x14ac:dyDescent="0.25">
      <c r="E80" s="34" t="s">
        <v>64</v>
      </c>
      <c r="G80" s="35"/>
    </row>
    <row r="81" spans="1:8" ht="17" thickBot="1" x14ac:dyDescent="0.25">
      <c r="C81" s="31" t="s">
        <v>55</v>
      </c>
      <c r="D81" s="32"/>
      <c r="E81" s="36" t="s">
        <v>65</v>
      </c>
      <c r="F81" s="37"/>
      <c r="G81" s="38"/>
    </row>
    <row r="82" spans="1:8" x14ac:dyDescent="0.2">
      <c r="C82" s="78" t="s">
        <v>56</v>
      </c>
      <c r="D82" s="35"/>
    </row>
    <row r="83" spans="1:8" ht="17" thickBot="1" x14ac:dyDescent="0.25">
      <c r="C83" s="80" t="s">
        <v>57</v>
      </c>
      <c r="D83" s="38"/>
    </row>
    <row r="85" spans="1:8" x14ac:dyDescent="0.2">
      <c r="A85" s="4" t="s">
        <v>66</v>
      </c>
      <c r="B85" s="4"/>
      <c r="C85" s="4"/>
      <c r="D85" s="4"/>
      <c r="E85" s="4"/>
      <c r="F85" s="4"/>
      <c r="G85" s="4"/>
      <c r="H85" s="4"/>
    </row>
    <row r="87" spans="1:8" x14ac:dyDescent="0.2">
      <c r="A87" s="3" t="s">
        <v>67</v>
      </c>
      <c r="B87" s="3"/>
      <c r="C87" s="3"/>
      <c r="D87" s="3"/>
      <c r="E87" s="3"/>
      <c r="F87" s="3"/>
      <c r="G87" s="3"/>
      <c r="H87" s="3"/>
    </row>
    <row r="88" spans="1:8" x14ac:dyDescent="0.2">
      <c r="A88" s="3" t="s">
        <v>68</v>
      </c>
      <c r="B88" s="3"/>
      <c r="C88" s="3"/>
      <c r="D88" s="3"/>
      <c r="E88" s="3"/>
      <c r="F88" s="3"/>
      <c r="G88" s="3"/>
      <c r="H88" s="3"/>
    </row>
    <row r="89" spans="1:8" x14ac:dyDescent="0.2">
      <c r="A89" s="3" t="s">
        <v>69</v>
      </c>
      <c r="B89" s="3"/>
      <c r="C89" s="3"/>
      <c r="D89" s="3"/>
      <c r="E89" s="3"/>
      <c r="F89" s="3"/>
      <c r="G89" s="3"/>
      <c r="H89" s="3"/>
    </row>
    <row r="90" spans="1:8" x14ac:dyDescent="0.2">
      <c r="A90" s="3" t="s">
        <v>70</v>
      </c>
      <c r="B90" s="3"/>
      <c r="C90" s="3"/>
      <c r="D90" s="3"/>
      <c r="E90" s="3"/>
      <c r="F90" s="3"/>
      <c r="G90" s="3"/>
      <c r="H90" s="3"/>
    </row>
    <row r="91" spans="1:8" x14ac:dyDescent="0.2">
      <c r="A91" s="3" t="s">
        <v>71</v>
      </c>
      <c r="B91" s="3"/>
      <c r="C91" s="3"/>
      <c r="D91" s="3"/>
      <c r="E91" s="3"/>
      <c r="F91" s="3"/>
      <c r="G91" s="3"/>
      <c r="H91" s="3"/>
    </row>
    <row r="92" spans="1:8" x14ac:dyDescent="0.2">
      <c r="A92" s="8" t="s">
        <v>72</v>
      </c>
      <c r="B92" s="8"/>
      <c r="C92" s="8"/>
      <c r="D92" s="8"/>
      <c r="E92" s="8"/>
      <c r="F92" s="8"/>
      <c r="G92" s="8"/>
      <c r="H92" s="8"/>
    </row>
    <row r="93" spans="1:8" x14ac:dyDescent="0.2">
      <c r="A93" s="8" t="s">
        <v>73</v>
      </c>
      <c r="B93" s="8"/>
      <c r="C93" s="8"/>
      <c r="D93" s="8"/>
      <c r="E93" s="8"/>
      <c r="F93" s="8"/>
      <c r="G93" s="8"/>
      <c r="H93" s="8"/>
    </row>
    <row r="95" spans="1:8" x14ac:dyDescent="0.2">
      <c r="A95" s="9" t="s">
        <v>74</v>
      </c>
    </row>
    <row r="97" spans="1:9" x14ac:dyDescent="0.2">
      <c r="A97" s="1" t="s">
        <v>75</v>
      </c>
    </row>
    <row r="98" spans="1:9" x14ac:dyDescent="0.2">
      <c r="A98" s="1" t="s">
        <v>76</v>
      </c>
    </row>
    <row r="99" spans="1:9" x14ac:dyDescent="0.2">
      <c r="A99" s="1" t="s">
        <v>77</v>
      </c>
    </row>
    <row r="101" spans="1:9" x14ac:dyDescent="0.2">
      <c r="A101" s="1" t="s">
        <v>78</v>
      </c>
    </row>
    <row r="102" spans="1:9" x14ac:dyDescent="0.2">
      <c r="A102" s="1" t="s">
        <v>79</v>
      </c>
    </row>
    <row r="103" spans="1:9" x14ac:dyDescent="0.2">
      <c r="A103" s="1" t="s">
        <v>80</v>
      </c>
    </row>
    <row r="104" spans="1:9" x14ac:dyDescent="0.2">
      <c r="A104" s="1" t="s">
        <v>81</v>
      </c>
    </row>
    <row r="105" spans="1:9" x14ac:dyDescent="0.2">
      <c r="A105" s="1" t="s">
        <v>82</v>
      </c>
    </row>
    <row r="106" spans="1:9" x14ac:dyDescent="0.2">
      <c r="A106" s="1" t="s">
        <v>83</v>
      </c>
    </row>
    <row r="108" spans="1:9" x14ac:dyDescent="0.2">
      <c r="A108" s="1" t="s">
        <v>84</v>
      </c>
    </row>
    <row r="109" spans="1:9" x14ac:dyDescent="0.2">
      <c r="A109" s="1" t="s">
        <v>85</v>
      </c>
      <c r="I109" s="2"/>
    </row>
    <row r="110" spans="1:9" x14ac:dyDescent="0.2">
      <c r="A110" s="1" t="s">
        <v>2570</v>
      </c>
      <c r="I110" s="2"/>
    </row>
    <row r="111" spans="1:9" x14ac:dyDescent="0.2">
      <c r="I111" s="2"/>
    </row>
    <row r="112" spans="1:9" x14ac:dyDescent="0.2">
      <c r="A112" s="10" t="s">
        <v>86</v>
      </c>
      <c r="B112" s="10" t="s">
        <v>87</v>
      </c>
    </row>
    <row r="113" spans="1:2" x14ac:dyDescent="0.2">
      <c r="A113" s="2">
        <v>42277</v>
      </c>
      <c r="B113" s="11">
        <v>5000000</v>
      </c>
    </row>
    <row r="114" spans="1:2" x14ac:dyDescent="0.2">
      <c r="A114" s="2">
        <v>42339</v>
      </c>
      <c r="B114" s="11">
        <v>5100000</v>
      </c>
    </row>
    <row r="115" spans="1:2" x14ac:dyDescent="0.2">
      <c r="A115" s="2">
        <v>42369</v>
      </c>
      <c r="B115" s="11">
        <v>5050000</v>
      </c>
    </row>
    <row r="116" spans="1:2" x14ac:dyDescent="0.2">
      <c r="A116" s="2">
        <v>42430</v>
      </c>
      <c r="B116" s="11">
        <v>5200000</v>
      </c>
    </row>
    <row r="117" spans="1:2" x14ac:dyDescent="0.2">
      <c r="A117" s="2">
        <v>42491</v>
      </c>
      <c r="B117" s="11">
        <v>5100000</v>
      </c>
    </row>
    <row r="118" spans="1:2" x14ac:dyDescent="0.2">
      <c r="A118" s="2">
        <v>42735</v>
      </c>
      <c r="B118" s="11">
        <v>5350000</v>
      </c>
    </row>
    <row r="120" spans="1:2" x14ac:dyDescent="0.2">
      <c r="A120" s="1" t="s">
        <v>88</v>
      </c>
    </row>
    <row r="121" spans="1:2" x14ac:dyDescent="0.2">
      <c r="A121" s="1" t="s">
        <v>89</v>
      </c>
    </row>
    <row r="122" spans="1:2" x14ac:dyDescent="0.2">
      <c r="A122" s="1" t="s">
        <v>90</v>
      </c>
    </row>
    <row r="123" spans="1:2" x14ac:dyDescent="0.2">
      <c r="A123" s="1" t="s">
        <v>91</v>
      </c>
    </row>
    <row r="124" spans="1:2" x14ac:dyDescent="0.2">
      <c r="A124" s="1" t="s">
        <v>92</v>
      </c>
    </row>
    <row r="125" spans="1:2" x14ac:dyDescent="0.2">
      <c r="A125" s="1" t="s">
        <v>93</v>
      </c>
    </row>
    <row r="126" spans="1:2" x14ac:dyDescent="0.2">
      <c r="A126" s="1" t="s">
        <v>94</v>
      </c>
    </row>
    <row r="127" spans="1:2" x14ac:dyDescent="0.2">
      <c r="A127" s="1" t="s">
        <v>95</v>
      </c>
    </row>
    <row r="128" spans="1:2" x14ac:dyDescent="0.2">
      <c r="A128" s="1" t="s">
        <v>96</v>
      </c>
    </row>
    <row r="130" spans="1:8" x14ac:dyDescent="0.2">
      <c r="A130" s="3" t="s">
        <v>97</v>
      </c>
    </row>
    <row r="131" spans="1:8" x14ac:dyDescent="0.2">
      <c r="A131" s="3" t="s">
        <v>98</v>
      </c>
    </row>
    <row r="132" spans="1:8" x14ac:dyDescent="0.2">
      <c r="A132" s="3" t="s">
        <v>99</v>
      </c>
    </row>
    <row r="133" spans="1:8" x14ac:dyDescent="0.2">
      <c r="A133" s="3" t="s">
        <v>100</v>
      </c>
    </row>
    <row r="135" spans="1:8" x14ac:dyDescent="0.2">
      <c r="A135" s="4" t="s">
        <v>101</v>
      </c>
      <c r="B135" s="4"/>
      <c r="C135" s="4"/>
      <c r="D135" s="4"/>
      <c r="E135" s="4"/>
      <c r="F135" s="4"/>
      <c r="G135" s="4"/>
      <c r="H135" s="4"/>
    </row>
    <row r="137" spans="1:8" x14ac:dyDescent="0.2">
      <c r="A137" s="12">
        <v>41547</v>
      </c>
      <c r="B137" s="39" t="s">
        <v>3302</v>
      </c>
      <c r="C137" s="13"/>
      <c r="D137" s="13"/>
    </row>
    <row r="138" spans="1:8" x14ac:dyDescent="0.2">
      <c r="A138" s="2" t="s">
        <v>230</v>
      </c>
    </row>
    <row r="139" spans="1:8" x14ac:dyDescent="0.2">
      <c r="A139" s="2" t="s">
        <v>232</v>
      </c>
    </row>
    <row r="140" spans="1:8" x14ac:dyDescent="0.2">
      <c r="A140" s="2" t="s">
        <v>231</v>
      </c>
    </row>
    <row r="141" spans="1:8" x14ac:dyDescent="0.2">
      <c r="A141" s="2"/>
    </row>
    <row r="142" spans="1:8" x14ac:dyDescent="0.2">
      <c r="C142" s="10" t="s">
        <v>102</v>
      </c>
      <c r="D142" s="10" t="s">
        <v>103</v>
      </c>
    </row>
    <row r="143" spans="1:8" x14ac:dyDescent="0.2">
      <c r="A143" s="1" t="s">
        <v>104</v>
      </c>
      <c r="C143" s="11">
        <f>1200000</f>
        <v>1200000</v>
      </c>
    </row>
    <row r="144" spans="1:8" x14ac:dyDescent="0.2">
      <c r="A144" s="1" t="s">
        <v>105</v>
      </c>
      <c r="D144" s="11">
        <f>C143</f>
        <v>1200000</v>
      </c>
    </row>
    <row r="145" spans="1:6" x14ac:dyDescent="0.2">
      <c r="D145" s="11"/>
    </row>
    <row r="146" spans="1:6" x14ac:dyDescent="0.2">
      <c r="A146" s="1" t="s">
        <v>106</v>
      </c>
      <c r="D146" s="11"/>
    </row>
    <row r="147" spans="1:6" x14ac:dyDescent="0.2">
      <c r="A147" s="1" t="s">
        <v>107</v>
      </c>
      <c r="D147" s="11"/>
    </row>
    <row r="148" spans="1:6" x14ac:dyDescent="0.2">
      <c r="A148" s="1" t="s">
        <v>108</v>
      </c>
      <c r="D148" s="11"/>
    </row>
    <row r="149" spans="1:6" x14ac:dyDescent="0.2">
      <c r="A149" s="1" t="s">
        <v>109</v>
      </c>
      <c r="D149" s="11"/>
    </row>
    <row r="151" spans="1:6" x14ac:dyDescent="0.2">
      <c r="A151" s="12">
        <v>41639</v>
      </c>
      <c r="B151" s="39" t="s">
        <v>3303</v>
      </c>
      <c r="C151" s="13"/>
      <c r="D151" s="13"/>
    </row>
    <row r="152" spans="1:6" x14ac:dyDescent="0.2">
      <c r="A152" s="2" t="s">
        <v>233</v>
      </c>
    </row>
    <row r="153" spans="1:6" x14ac:dyDescent="0.2">
      <c r="A153" s="2" t="s">
        <v>2521</v>
      </c>
    </row>
    <row r="154" spans="1:6" x14ac:dyDescent="0.2">
      <c r="A154" s="2"/>
    </row>
    <row r="155" spans="1:6" x14ac:dyDescent="0.2">
      <c r="A155" s="2"/>
      <c r="C155" s="1" t="s">
        <v>2524</v>
      </c>
    </row>
    <row r="156" spans="1:6" x14ac:dyDescent="0.2">
      <c r="A156" s="2"/>
    </row>
    <row r="157" spans="1:6" x14ac:dyDescent="0.2">
      <c r="A157" s="2"/>
    </row>
    <row r="158" spans="1:6" x14ac:dyDescent="0.2">
      <c r="A158" s="2"/>
      <c r="B158" s="2">
        <v>42277</v>
      </c>
      <c r="E158" s="2">
        <v>41639</v>
      </c>
      <c r="F158" s="2">
        <v>41547</v>
      </c>
    </row>
    <row r="159" spans="1:6" x14ac:dyDescent="0.2">
      <c r="A159" s="2"/>
      <c r="B159" s="1" t="s">
        <v>2523</v>
      </c>
      <c r="F159" s="1" t="s">
        <v>2522</v>
      </c>
    </row>
    <row r="160" spans="1:6" x14ac:dyDescent="0.2">
      <c r="A160" s="2"/>
    </row>
    <row r="161" spans="1:9" x14ac:dyDescent="0.2">
      <c r="A161" s="2"/>
    </row>
    <row r="162" spans="1:9" x14ac:dyDescent="0.2">
      <c r="A162" s="2"/>
      <c r="E162" s="1" t="s">
        <v>2525</v>
      </c>
      <c r="I162" s="1" t="s">
        <v>2526</v>
      </c>
    </row>
    <row r="163" spans="1:9" x14ac:dyDescent="0.2">
      <c r="A163" s="2"/>
    </row>
    <row r="164" spans="1:9" x14ac:dyDescent="0.2">
      <c r="A164" s="18" t="s">
        <v>2527</v>
      </c>
    </row>
    <row r="165" spans="1:9" x14ac:dyDescent="0.2">
      <c r="C165" s="10" t="s">
        <v>102</v>
      </c>
      <c r="D165" s="10" t="s">
        <v>103</v>
      </c>
    </row>
    <row r="166" spans="1:9" x14ac:dyDescent="0.2">
      <c r="A166" s="1" t="s">
        <v>234</v>
      </c>
      <c r="C166" s="11">
        <f>3000000/24*3</f>
        <v>375000</v>
      </c>
    </row>
    <row r="167" spans="1:9" x14ac:dyDescent="0.2">
      <c r="A167" s="1" t="s">
        <v>105</v>
      </c>
      <c r="D167" s="11">
        <f>C166</f>
        <v>375000</v>
      </c>
    </row>
    <row r="169" spans="1:9" x14ac:dyDescent="0.2">
      <c r="A169" s="1" t="s">
        <v>110</v>
      </c>
    </row>
    <row r="170" spans="1:9" x14ac:dyDescent="0.2">
      <c r="A170" s="1" t="s">
        <v>111</v>
      </c>
    </row>
    <row r="172" spans="1:9" x14ac:dyDescent="0.2">
      <c r="A172" s="1" t="s">
        <v>112</v>
      </c>
    </row>
    <row r="173" spans="1:9" x14ac:dyDescent="0.2">
      <c r="A173" s="1" t="s">
        <v>113</v>
      </c>
    </row>
    <row r="175" spans="1:9" x14ac:dyDescent="0.2">
      <c r="D175" s="11">
        <f>3000000/24*3</f>
        <v>375000</v>
      </c>
      <c r="F175" s="1" t="s">
        <v>114</v>
      </c>
    </row>
    <row r="177" spans="1:8" x14ac:dyDescent="0.2">
      <c r="A177" s="4" t="s">
        <v>2528</v>
      </c>
      <c r="B177" s="5"/>
      <c r="C177" s="5"/>
      <c r="D177" s="5"/>
      <c r="E177" s="5"/>
      <c r="F177" s="5"/>
      <c r="G177" s="5"/>
      <c r="H177" s="5"/>
    </row>
    <row r="179" spans="1:8" x14ac:dyDescent="0.2">
      <c r="A179" s="10" t="s">
        <v>116</v>
      </c>
      <c r="B179" s="10"/>
      <c r="C179" s="14">
        <v>41639</v>
      </c>
    </row>
    <row r="180" spans="1:8" x14ac:dyDescent="0.2">
      <c r="A180" s="1" t="s">
        <v>117</v>
      </c>
      <c r="C180" s="11">
        <f>C143+C166</f>
        <v>1575000</v>
      </c>
      <c r="F180" s="1" t="s">
        <v>118</v>
      </c>
    </row>
    <row r="181" spans="1:8" x14ac:dyDescent="0.2">
      <c r="A181" s="1" t="s">
        <v>119</v>
      </c>
      <c r="C181" s="1">
        <f>0</f>
        <v>0</v>
      </c>
      <c r="D181" s="1" t="s">
        <v>2529</v>
      </c>
    </row>
    <row r="182" spans="1:8" x14ac:dyDescent="0.2">
      <c r="A182" s="1" t="s">
        <v>120</v>
      </c>
      <c r="C182" s="202">
        <f>C180-C181</f>
        <v>1575000</v>
      </c>
      <c r="D182" s="1" t="s">
        <v>2530</v>
      </c>
    </row>
    <row r="184" spans="1:8" x14ac:dyDescent="0.2">
      <c r="A184" s="1" t="s">
        <v>235</v>
      </c>
    </row>
    <row r="186" spans="1:8" x14ac:dyDescent="0.2">
      <c r="A186" s="1" t="s">
        <v>121</v>
      </c>
    </row>
    <row r="187" spans="1:8" x14ac:dyDescent="0.2">
      <c r="A187" s="1" t="s">
        <v>122</v>
      </c>
    </row>
    <row r="188" spans="1:8" x14ac:dyDescent="0.2">
      <c r="A188" s="1" t="s">
        <v>123</v>
      </c>
    </row>
    <row r="189" spans="1:8" x14ac:dyDescent="0.2">
      <c r="A189" s="1" t="s">
        <v>124</v>
      </c>
    </row>
    <row r="190" spans="1:8" x14ac:dyDescent="0.2">
      <c r="A190" s="1" t="s">
        <v>125</v>
      </c>
    </row>
    <row r="191" spans="1:8" x14ac:dyDescent="0.2">
      <c r="A191" s="1" t="s">
        <v>126</v>
      </c>
    </row>
    <row r="193" spans="1:6" x14ac:dyDescent="0.2">
      <c r="A193" s="12">
        <v>42004</v>
      </c>
      <c r="B193" s="39" t="s">
        <v>3304</v>
      </c>
      <c r="C193" s="13"/>
      <c r="D193" s="13"/>
    </row>
    <row r="194" spans="1:6" x14ac:dyDescent="0.2">
      <c r="A194" s="18"/>
      <c r="B194" s="3"/>
    </row>
    <row r="195" spans="1:6" x14ac:dyDescent="0.2">
      <c r="A195" s="2"/>
      <c r="C195" s="1" t="s">
        <v>2524</v>
      </c>
    </row>
    <row r="196" spans="1:6" x14ac:dyDescent="0.2">
      <c r="A196" s="2"/>
    </row>
    <row r="197" spans="1:6" x14ac:dyDescent="0.2">
      <c r="A197" s="2"/>
    </row>
    <row r="198" spans="1:6" x14ac:dyDescent="0.2">
      <c r="A198" s="2"/>
      <c r="B198" s="2">
        <v>42277</v>
      </c>
      <c r="D198" s="2">
        <v>42004</v>
      </c>
      <c r="E198" s="2">
        <v>41639</v>
      </c>
      <c r="F198" s="2">
        <v>41547</v>
      </c>
    </row>
    <row r="199" spans="1:6" x14ac:dyDescent="0.2">
      <c r="A199" s="2"/>
      <c r="B199" s="1" t="s">
        <v>2523</v>
      </c>
      <c r="F199" s="1" t="s">
        <v>2522</v>
      </c>
    </row>
    <row r="200" spans="1:6" x14ac:dyDescent="0.2">
      <c r="A200" s="2"/>
    </row>
    <row r="201" spans="1:6" x14ac:dyDescent="0.2">
      <c r="A201" s="2"/>
    </row>
    <row r="202" spans="1:6" x14ac:dyDescent="0.2">
      <c r="A202" s="2"/>
      <c r="C202" s="1" t="s">
        <v>2531</v>
      </c>
    </row>
    <row r="203" spans="1:6" x14ac:dyDescent="0.2">
      <c r="A203" s="18"/>
      <c r="B203" s="3"/>
      <c r="E203" s="1" t="s">
        <v>2532</v>
      </c>
    </row>
    <row r="204" spans="1:6" x14ac:dyDescent="0.2">
      <c r="A204" s="18"/>
      <c r="B204" s="3"/>
    </row>
    <row r="205" spans="1:6" x14ac:dyDescent="0.2">
      <c r="A205" s="18" t="s">
        <v>2533</v>
      </c>
      <c r="B205" s="3"/>
    </row>
    <row r="206" spans="1:6" x14ac:dyDescent="0.2">
      <c r="A206" s="18"/>
      <c r="B206" s="3"/>
    </row>
    <row r="207" spans="1:6" x14ac:dyDescent="0.2">
      <c r="C207" s="10" t="s">
        <v>102</v>
      </c>
      <c r="D207" s="10" t="s">
        <v>103</v>
      </c>
    </row>
    <row r="208" spans="1:6" x14ac:dyDescent="0.2">
      <c r="A208" s="1" t="s">
        <v>104</v>
      </c>
      <c r="C208" s="11">
        <f>3000000/24*12</f>
        <v>1500000</v>
      </c>
    </row>
    <row r="209" spans="1:7" x14ac:dyDescent="0.2">
      <c r="A209" s="1" t="s">
        <v>105</v>
      </c>
      <c r="D209" s="11">
        <f>C208</f>
        <v>1500000</v>
      </c>
    </row>
    <row r="211" spans="1:7" x14ac:dyDescent="0.2">
      <c r="A211" s="1" t="s">
        <v>127</v>
      </c>
    </row>
    <row r="212" spans="1:7" x14ac:dyDescent="0.2">
      <c r="A212" s="1" t="s">
        <v>128</v>
      </c>
    </row>
    <row r="214" spans="1:7" x14ac:dyDescent="0.2">
      <c r="D214" s="11">
        <f>3000000/24*12</f>
        <v>1500000</v>
      </c>
      <c r="F214" s="1" t="s">
        <v>129</v>
      </c>
    </row>
    <row r="216" spans="1:7" x14ac:dyDescent="0.2">
      <c r="A216" s="3" t="s">
        <v>115</v>
      </c>
    </row>
    <row r="217" spans="1:7" ht="17" thickBot="1" x14ac:dyDescent="0.25"/>
    <row r="218" spans="1:7" x14ac:dyDescent="0.2">
      <c r="A218" s="194" t="s">
        <v>116</v>
      </c>
      <c r="B218" s="195"/>
      <c r="C218" s="203">
        <v>42004</v>
      </c>
    </row>
    <row r="219" spans="1:7" x14ac:dyDescent="0.2">
      <c r="A219" s="34" t="s">
        <v>117</v>
      </c>
      <c r="C219" s="204">
        <f>C180+C208</f>
        <v>3075000</v>
      </c>
      <c r="F219" s="1" t="s">
        <v>236</v>
      </c>
    </row>
    <row r="220" spans="1:7" x14ac:dyDescent="0.2">
      <c r="A220" s="34" t="s">
        <v>119</v>
      </c>
      <c r="C220" s="35">
        <f>0</f>
        <v>0</v>
      </c>
    </row>
    <row r="221" spans="1:7" ht="17" thickBot="1" x14ac:dyDescent="0.25">
      <c r="A221" s="36" t="s">
        <v>120</v>
      </c>
      <c r="B221" s="37"/>
      <c r="C221" s="205">
        <f>C219-C220</f>
        <v>3075000</v>
      </c>
      <c r="G221" s="1" t="s">
        <v>2534</v>
      </c>
    </row>
    <row r="222" spans="1:7" x14ac:dyDescent="0.2">
      <c r="C222" s="11"/>
    </row>
    <row r="223" spans="1:7" x14ac:dyDescent="0.2">
      <c r="A223" s="1" t="s">
        <v>130</v>
      </c>
      <c r="C223" s="11"/>
      <c r="F223" s="1" t="s">
        <v>2535</v>
      </c>
    </row>
    <row r="224" spans="1:7" x14ac:dyDescent="0.2">
      <c r="C224" s="11"/>
    </row>
    <row r="225" spans="1:9" x14ac:dyDescent="0.2">
      <c r="A225" s="259" t="s">
        <v>3305</v>
      </c>
      <c r="B225" s="260"/>
      <c r="C225" s="261"/>
      <c r="D225" s="260"/>
      <c r="E225" s="260"/>
      <c r="F225" s="260"/>
      <c r="G225" s="260"/>
      <c r="H225" s="260"/>
      <c r="I225" s="262"/>
    </row>
    <row r="226" spans="1:9" x14ac:dyDescent="0.2">
      <c r="A226" s="263" t="s">
        <v>3306</v>
      </c>
      <c r="B226" s="264"/>
      <c r="C226" s="265"/>
      <c r="D226" s="264"/>
      <c r="E226" s="264"/>
      <c r="F226" s="264"/>
      <c r="G226" s="264"/>
      <c r="H226" s="264"/>
      <c r="I226" s="266"/>
    </row>
    <row r="227" spans="1:9" x14ac:dyDescent="0.2">
      <c r="A227" s="267" t="s">
        <v>3307</v>
      </c>
      <c r="B227" s="268"/>
      <c r="C227" s="269"/>
      <c r="D227" s="268"/>
      <c r="E227" s="268"/>
      <c r="F227" s="268"/>
      <c r="G227" s="268"/>
      <c r="H227" s="268"/>
      <c r="I227" s="270"/>
    </row>
    <row r="228" spans="1:9" x14ac:dyDescent="0.2">
      <c r="C228" s="11"/>
    </row>
    <row r="229" spans="1:9" x14ac:dyDescent="0.2">
      <c r="C229" s="11"/>
      <c r="D229" s="1" t="s">
        <v>3308</v>
      </c>
    </row>
    <row r="230" spans="1:9" x14ac:dyDescent="0.2">
      <c r="C230" s="11"/>
      <c r="D230" s="1" t="s">
        <v>3309</v>
      </c>
      <c r="F230" s="11">
        <v>125000</v>
      </c>
      <c r="G230" s="331" t="s">
        <v>3310</v>
      </c>
      <c r="H230" s="331"/>
    </row>
    <row r="231" spans="1:9" x14ac:dyDescent="0.2">
      <c r="C231" s="11"/>
    </row>
    <row r="232" spans="1:9" x14ac:dyDescent="0.2">
      <c r="C232" s="42" t="s">
        <v>2523</v>
      </c>
      <c r="E232" s="1" t="s">
        <v>3311</v>
      </c>
      <c r="G232" s="1" t="s">
        <v>3311</v>
      </c>
      <c r="H232" s="7" t="s">
        <v>2522</v>
      </c>
    </row>
    <row r="233" spans="1:9" x14ac:dyDescent="0.2">
      <c r="C233" s="211">
        <v>42277</v>
      </c>
      <c r="E233" s="211">
        <v>42004</v>
      </c>
      <c r="G233" s="2">
        <v>41639</v>
      </c>
      <c r="H233" s="211">
        <v>41547</v>
      </c>
    </row>
    <row r="234" spans="1:9" x14ac:dyDescent="0.2">
      <c r="C234" s="11"/>
      <c r="E234" s="7"/>
      <c r="H234" s="7"/>
    </row>
    <row r="235" spans="1:9" x14ac:dyDescent="0.2">
      <c r="C235" s="11">
        <v>3075000</v>
      </c>
      <c r="E235" s="271">
        <v>1575000</v>
      </c>
      <c r="G235" s="11">
        <v>1200000</v>
      </c>
      <c r="H235" s="42">
        <v>1200000</v>
      </c>
    </row>
    <row r="236" spans="1:9" x14ac:dyDescent="0.2">
      <c r="C236" s="272" t="s">
        <v>3316</v>
      </c>
      <c r="E236" s="228" t="s">
        <v>3314</v>
      </c>
      <c r="G236" s="1" t="s">
        <v>3312</v>
      </c>
      <c r="H236" s="7" t="s">
        <v>2725</v>
      </c>
    </row>
    <row r="237" spans="1:9" x14ac:dyDescent="0.2">
      <c r="C237" s="57" t="s">
        <v>3317</v>
      </c>
      <c r="E237" s="228" t="s">
        <v>3315</v>
      </c>
      <c r="G237" s="9" t="s">
        <v>3313</v>
      </c>
      <c r="H237" s="7" t="s">
        <v>3318</v>
      </c>
    </row>
    <row r="238" spans="1:9" x14ac:dyDescent="0.2">
      <c r="C238" s="11"/>
      <c r="H238" s="7" t="s">
        <v>3319</v>
      </c>
    </row>
    <row r="239" spans="1:9" x14ac:dyDescent="0.2">
      <c r="C239" s="11"/>
      <c r="H239" s="7" t="s">
        <v>3320</v>
      </c>
    </row>
    <row r="240" spans="1:9" x14ac:dyDescent="0.2">
      <c r="C240" s="11"/>
    </row>
    <row r="241" spans="1:8" x14ac:dyDescent="0.2">
      <c r="A241" s="12">
        <v>42277</v>
      </c>
      <c r="B241" s="39" t="s">
        <v>2536</v>
      </c>
      <c r="C241" s="13"/>
      <c r="D241" s="13"/>
    </row>
    <row r="242" spans="1:8" s="208" customFormat="1" x14ac:dyDescent="0.2">
      <c r="A242" s="206"/>
      <c r="B242" s="207"/>
    </row>
    <row r="243" spans="1:8" x14ac:dyDescent="0.2">
      <c r="A243" s="2"/>
      <c r="C243" s="1" t="s">
        <v>2524</v>
      </c>
    </row>
    <row r="244" spans="1:8" x14ac:dyDescent="0.2">
      <c r="A244" s="2"/>
    </row>
    <row r="245" spans="1:8" x14ac:dyDescent="0.2">
      <c r="A245" s="2"/>
      <c r="H245"/>
    </row>
    <row r="246" spans="1:8" x14ac:dyDescent="0.2">
      <c r="A246" s="2"/>
      <c r="B246" s="2">
        <v>42277</v>
      </c>
      <c r="D246" s="2">
        <v>42004</v>
      </c>
      <c r="E246" s="2">
        <v>41639</v>
      </c>
      <c r="F246" s="2">
        <v>41547</v>
      </c>
    </row>
    <row r="247" spans="1:8" x14ac:dyDescent="0.2">
      <c r="A247" s="2"/>
      <c r="B247" s="1" t="s">
        <v>2523</v>
      </c>
      <c r="F247" s="1" t="s">
        <v>2522</v>
      </c>
    </row>
    <row r="248" spans="1:8" x14ac:dyDescent="0.2">
      <c r="A248" s="2"/>
    </row>
    <row r="249" spans="1:8" x14ac:dyDescent="0.2">
      <c r="A249" s="2"/>
    </row>
    <row r="250" spans="1:8" x14ac:dyDescent="0.2">
      <c r="A250" s="2"/>
      <c r="C250" s="1" t="s">
        <v>2538</v>
      </c>
    </row>
    <row r="251" spans="1:8" x14ac:dyDescent="0.2">
      <c r="A251" s="18"/>
      <c r="B251" s="3"/>
      <c r="C251" s="273">
        <f>3000000*9/24</f>
        <v>1125000</v>
      </c>
      <c r="D251" s="4"/>
      <c r="E251" s="4" t="s">
        <v>2537</v>
      </c>
    </row>
    <row r="252" spans="1:8" s="208" customFormat="1" x14ac:dyDescent="0.2">
      <c r="A252" s="206"/>
      <c r="B252" s="207"/>
    </row>
    <row r="253" spans="1:8" s="208" customFormat="1" x14ac:dyDescent="0.2">
      <c r="A253" s="206" t="s">
        <v>2539</v>
      </c>
      <c r="B253" s="207"/>
    </row>
    <row r="254" spans="1:8" s="208" customFormat="1" x14ac:dyDescent="0.2">
      <c r="A254" s="206"/>
      <c r="B254" s="207"/>
    </row>
    <row r="255" spans="1:8" x14ac:dyDescent="0.2">
      <c r="C255" s="10" t="s">
        <v>102</v>
      </c>
      <c r="D255" s="10" t="s">
        <v>103</v>
      </c>
    </row>
    <row r="256" spans="1:8" x14ac:dyDescent="0.2">
      <c r="A256" s="1" t="s">
        <v>104</v>
      </c>
      <c r="C256" s="11">
        <f>3000000/24*9</f>
        <v>1125000</v>
      </c>
    </row>
    <row r="257" spans="1:6" x14ac:dyDescent="0.2">
      <c r="A257" s="1" t="s">
        <v>105</v>
      </c>
      <c r="D257" s="11">
        <f>C256</f>
        <v>1125000</v>
      </c>
    </row>
    <row r="258" spans="1:6" x14ac:dyDescent="0.2">
      <c r="D258" s="11"/>
    </row>
    <row r="259" spans="1:6" x14ac:dyDescent="0.2">
      <c r="A259" s="1" t="s">
        <v>131</v>
      </c>
      <c r="D259" s="11"/>
    </row>
    <row r="260" spans="1:6" x14ac:dyDescent="0.2">
      <c r="A260" s="1" t="s">
        <v>132</v>
      </c>
      <c r="D260" s="11">
        <f>D257</f>
        <v>1125000</v>
      </c>
      <c r="F260" s="1" t="s">
        <v>133</v>
      </c>
    </row>
    <row r="261" spans="1:6" x14ac:dyDescent="0.2">
      <c r="D261" s="11"/>
    </row>
    <row r="262" spans="1:6" x14ac:dyDescent="0.2">
      <c r="A262" s="1" t="s">
        <v>134</v>
      </c>
      <c r="D262" s="11"/>
    </row>
    <row r="263" spans="1:6" x14ac:dyDescent="0.2">
      <c r="A263" s="1" t="s">
        <v>135</v>
      </c>
      <c r="D263" s="11"/>
    </row>
    <row r="265" spans="1:6" x14ac:dyDescent="0.2">
      <c r="A265" s="12">
        <v>42369</v>
      </c>
      <c r="B265" s="13"/>
      <c r="C265" s="13"/>
      <c r="D265" s="13"/>
    </row>
    <row r="266" spans="1:6" x14ac:dyDescent="0.2">
      <c r="A266" s="2" t="s">
        <v>237</v>
      </c>
    </row>
    <row r="267" spans="1:6" x14ac:dyDescent="0.2">
      <c r="A267" s="2" t="s">
        <v>136</v>
      </c>
    </row>
    <row r="268" spans="1:6" x14ac:dyDescent="0.2">
      <c r="A268" s="2" t="s">
        <v>137</v>
      </c>
    </row>
    <row r="269" spans="1:6" x14ac:dyDescent="0.2">
      <c r="A269" s="2"/>
    </row>
    <row r="270" spans="1:6" x14ac:dyDescent="0.2">
      <c r="A270" s="2"/>
    </row>
    <row r="271" spans="1:6" x14ac:dyDescent="0.2">
      <c r="A271" s="2"/>
      <c r="F271" s="3" t="s">
        <v>2560</v>
      </c>
    </row>
    <row r="272" spans="1:6" x14ac:dyDescent="0.2">
      <c r="A272" s="2"/>
    </row>
    <row r="273" spans="1:8" x14ac:dyDescent="0.2">
      <c r="A273" s="2"/>
      <c r="C273" s="2">
        <v>42491</v>
      </c>
      <c r="D273" s="2">
        <v>42430</v>
      </c>
      <c r="E273" s="24">
        <v>42369</v>
      </c>
      <c r="F273" s="2">
        <v>42339</v>
      </c>
      <c r="G273" s="2">
        <v>42277</v>
      </c>
    </row>
    <row r="274" spans="1:8" x14ac:dyDescent="0.2">
      <c r="A274" s="2"/>
      <c r="E274" s="5"/>
    </row>
    <row r="275" spans="1:8" x14ac:dyDescent="0.2">
      <c r="A275" s="2"/>
      <c r="C275" s="7" t="s">
        <v>2547</v>
      </c>
      <c r="D275" s="7" t="s">
        <v>2544</v>
      </c>
      <c r="E275" s="209" t="s">
        <v>294</v>
      </c>
      <c r="F275" s="7" t="s">
        <v>2540</v>
      </c>
      <c r="G275" s="7" t="s">
        <v>2523</v>
      </c>
    </row>
    <row r="276" spans="1:8" x14ac:dyDescent="0.2">
      <c r="A276" s="2"/>
      <c r="C276" s="7" t="s">
        <v>2548</v>
      </c>
      <c r="D276" s="7" t="s">
        <v>2545</v>
      </c>
      <c r="E276" s="209"/>
      <c r="F276" s="7" t="s">
        <v>2541</v>
      </c>
      <c r="G276" s="7"/>
    </row>
    <row r="277" spans="1:8" x14ac:dyDescent="0.2">
      <c r="A277" s="2"/>
      <c r="C277" s="7"/>
      <c r="D277" s="7" t="s">
        <v>2546</v>
      </c>
      <c r="E277" s="209"/>
      <c r="F277" s="7" t="s">
        <v>2542</v>
      </c>
      <c r="G277" s="7"/>
      <c r="H277"/>
    </row>
    <row r="278" spans="1:8" x14ac:dyDescent="0.2">
      <c r="A278" s="2"/>
      <c r="C278" s="7"/>
      <c r="D278" s="7"/>
      <c r="E278" s="209"/>
      <c r="F278" s="7" t="s">
        <v>2543</v>
      </c>
      <c r="G278" s="7"/>
    </row>
    <row r="279" spans="1:8" x14ac:dyDescent="0.2">
      <c r="A279" s="2"/>
      <c r="G279" s="1" t="s">
        <v>2561</v>
      </c>
    </row>
    <row r="280" spans="1:8" x14ac:dyDescent="0.2">
      <c r="A280" s="2"/>
      <c r="G280" s="1" t="s">
        <v>2562</v>
      </c>
    </row>
    <row r="281" spans="1:8" x14ac:dyDescent="0.2">
      <c r="A281" s="2"/>
      <c r="C281" s="7" t="s">
        <v>2555</v>
      </c>
      <c r="D281" s="7" t="s">
        <v>2552</v>
      </c>
      <c r="F281" s="7" t="s">
        <v>2549</v>
      </c>
      <c r="G281" s="1" t="s">
        <v>2563</v>
      </c>
    </row>
    <row r="282" spans="1:8" x14ac:dyDescent="0.2">
      <c r="A282" s="2"/>
      <c r="C282" s="7" t="s">
        <v>2558</v>
      </c>
      <c r="D282" s="7" t="s">
        <v>2553</v>
      </c>
      <c r="F282" s="7" t="s">
        <v>2550</v>
      </c>
    </row>
    <row r="283" spans="1:8" x14ac:dyDescent="0.2">
      <c r="A283" s="2"/>
      <c r="C283" s="7" t="s">
        <v>2559</v>
      </c>
      <c r="D283" s="7" t="s">
        <v>2554</v>
      </c>
      <c r="F283" s="7" t="s">
        <v>2551</v>
      </c>
    </row>
    <row r="284" spans="1:8" x14ac:dyDescent="0.2">
      <c r="A284" s="2"/>
      <c r="C284" s="7" t="s">
        <v>2556</v>
      </c>
      <c r="D284" s="7"/>
      <c r="F284" s="7"/>
    </row>
    <row r="285" spans="1:8" x14ac:dyDescent="0.2">
      <c r="A285" s="2"/>
      <c r="C285" s="7" t="s">
        <v>2557</v>
      </c>
      <c r="D285" s="7"/>
      <c r="F285" s="7"/>
    </row>
    <row r="286" spans="1:8" x14ac:dyDescent="0.2">
      <c r="A286" s="2"/>
    </row>
    <row r="287" spans="1:8" x14ac:dyDescent="0.2">
      <c r="A287" s="2"/>
    </row>
    <row r="288" spans="1:8" x14ac:dyDescent="0.2">
      <c r="A288" s="2"/>
    </row>
    <row r="289" spans="1:6" x14ac:dyDescent="0.2">
      <c r="A289" s="2"/>
    </row>
    <row r="290" spans="1:6" x14ac:dyDescent="0.2">
      <c r="A290" s="2"/>
    </row>
    <row r="291" spans="1:6" x14ac:dyDescent="0.2">
      <c r="A291" s="2" t="s">
        <v>238</v>
      </c>
    </row>
    <row r="292" spans="1:6" x14ac:dyDescent="0.2">
      <c r="A292" s="2" t="s">
        <v>239</v>
      </c>
    </row>
    <row r="293" spans="1:6" x14ac:dyDescent="0.2">
      <c r="A293" s="2" t="s">
        <v>138</v>
      </c>
    </row>
    <row r="294" spans="1:6" x14ac:dyDescent="0.2">
      <c r="A294" s="2" t="s">
        <v>139</v>
      </c>
    </row>
    <row r="295" spans="1:6" x14ac:dyDescent="0.2">
      <c r="A295" s="2" t="s">
        <v>140</v>
      </c>
    </row>
    <row r="296" spans="1:6" x14ac:dyDescent="0.2">
      <c r="A296" s="2"/>
    </row>
    <row r="297" spans="1:6" x14ac:dyDescent="0.2">
      <c r="A297" s="18" t="s">
        <v>240</v>
      </c>
    </row>
    <row r="298" spans="1:6" x14ac:dyDescent="0.2">
      <c r="A298" s="2"/>
    </row>
    <row r="299" spans="1:6" x14ac:dyDescent="0.2">
      <c r="A299" s="2" t="s">
        <v>245</v>
      </c>
    </row>
    <row r="300" spans="1:6" x14ac:dyDescent="0.2">
      <c r="A300" s="2" t="s">
        <v>141</v>
      </c>
      <c r="C300" s="11">
        <v>4200000</v>
      </c>
      <c r="F300" s="1" t="s">
        <v>142</v>
      </c>
    </row>
    <row r="301" spans="1:6" ht="17" thickBot="1" x14ac:dyDescent="0.25">
      <c r="A301" s="2" t="s">
        <v>242</v>
      </c>
      <c r="C301" s="11">
        <v>1200000</v>
      </c>
      <c r="D301" s="1" t="s">
        <v>241</v>
      </c>
    </row>
    <row r="302" spans="1:6" ht="17" thickBot="1" x14ac:dyDescent="0.25">
      <c r="A302" s="2" t="s">
        <v>143</v>
      </c>
      <c r="C302" s="16">
        <f>C300-C301</f>
        <v>3000000</v>
      </c>
      <c r="D302" s="1" t="s">
        <v>244</v>
      </c>
    </row>
    <row r="303" spans="1:6" x14ac:dyDescent="0.2">
      <c r="A303" s="2"/>
    </row>
    <row r="304" spans="1:6" x14ac:dyDescent="0.2">
      <c r="A304" s="26" t="s">
        <v>243</v>
      </c>
    </row>
    <row r="305" spans="1:6" x14ac:dyDescent="0.2">
      <c r="A305" s="26" t="s">
        <v>144</v>
      </c>
    </row>
    <row r="306" spans="1:6" x14ac:dyDescent="0.2">
      <c r="A306" s="2"/>
    </row>
    <row r="307" spans="1:6" x14ac:dyDescent="0.2">
      <c r="A307" s="2" t="s">
        <v>145</v>
      </c>
      <c r="C307" s="11">
        <f>C302/25*0.25</f>
        <v>30000</v>
      </c>
      <c r="F307" s="1" t="s">
        <v>146</v>
      </c>
    </row>
    <row r="308" spans="1:6" x14ac:dyDescent="0.2">
      <c r="A308" s="2"/>
      <c r="C308" s="11"/>
    </row>
    <row r="309" spans="1:6" x14ac:dyDescent="0.2">
      <c r="A309" s="2" t="s">
        <v>147</v>
      </c>
    </row>
    <row r="310" spans="1:6" x14ac:dyDescent="0.2">
      <c r="C310" s="10" t="s">
        <v>102</v>
      </c>
      <c r="D310" s="10" t="s">
        <v>103</v>
      </c>
    </row>
    <row r="311" spans="1:6" x14ac:dyDescent="0.2">
      <c r="A311" s="1" t="s">
        <v>148</v>
      </c>
      <c r="C311" s="11">
        <f>3000000/25*3/12</f>
        <v>30000</v>
      </c>
    </row>
    <row r="312" spans="1:6" x14ac:dyDescent="0.2">
      <c r="A312" s="1" t="s">
        <v>149</v>
      </c>
      <c r="D312" s="11">
        <f>C311</f>
        <v>30000</v>
      </c>
    </row>
    <row r="314" spans="1:6" x14ac:dyDescent="0.2">
      <c r="A314" s="3" t="s">
        <v>115</v>
      </c>
    </row>
    <row r="316" spans="1:6" x14ac:dyDescent="0.2">
      <c r="A316" s="1" t="s">
        <v>116</v>
      </c>
      <c r="C316" s="14">
        <v>42369</v>
      </c>
    </row>
    <row r="317" spans="1:6" x14ac:dyDescent="0.2">
      <c r="A317" s="1" t="s">
        <v>117</v>
      </c>
      <c r="C317" s="11">
        <f>C219+C256</f>
        <v>4200000</v>
      </c>
      <c r="D317" s="1" t="s">
        <v>246</v>
      </c>
    </row>
    <row r="318" spans="1:6" x14ac:dyDescent="0.2">
      <c r="A318" s="1" t="s">
        <v>119</v>
      </c>
      <c r="C318" s="17">
        <f>-C311</f>
        <v>-30000</v>
      </c>
    </row>
    <row r="319" spans="1:6" x14ac:dyDescent="0.2">
      <c r="A319" s="1" t="s">
        <v>120</v>
      </c>
      <c r="C319" s="15">
        <f>C317+C318</f>
        <v>4170000</v>
      </c>
    </row>
    <row r="321" spans="1:8" x14ac:dyDescent="0.2">
      <c r="A321" s="1" t="s">
        <v>150</v>
      </c>
      <c r="C321" s="11">
        <f>C311</f>
        <v>30000</v>
      </c>
    </row>
    <row r="325" spans="1:8" x14ac:dyDescent="0.2">
      <c r="A325" s="210">
        <v>42430</v>
      </c>
      <c r="B325" s="23" t="s">
        <v>2564</v>
      </c>
      <c r="C325" s="23"/>
      <c r="D325" s="23"/>
      <c r="E325" s="23"/>
      <c r="F325" s="23"/>
      <c r="G325" s="23"/>
    </row>
    <row r="326" spans="1:8" x14ac:dyDescent="0.2">
      <c r="A326" s="18"/>
    </row>
    <row r="327" spans="1:8" x14ac:dyDescent="0.2">
      <c r="A327" s="18"/>
    </row>
    <row r="328" spans="1:8" x14ac:dyDescent="0.2">
      <c r="A328" s="18"/>
      <c r="D328" s="1" t="s">
        <v>2569</v>
      </c>
    </row>
    <row r="329" spans="1:8" x14ac:dyDescent="0.2">
      <c r="A329" s="18"/>
    </row>
    <row r="330" spans="1:8" x14ac:dyDescent="0.2">
      <c r="A330" s="18"/>
    </row>
    <row r="331" spans="1:8" x14ac:dyDescent="0.2">
      <c r="A331" s="18"/>
    </row>
    <row r="332" spans="1:8" x14ac:dyDescent="0.2">
      <c r="A332" s="2"/>
      <c r="C332" s="2"/>
      <c r="D332" s="274">
        <v>42430</v>
      </c>
      <c r="E332" s="211">
        <v>42369</v>
      </c>
      <c r="F332" s="2">
        <v>42339</v>
      </c>
      <c r="G332" s="2">
        <v>42277</v>
      </c>
    </row>
    <row r="333" spans="1:8" x14ac:dyDescent="0.2">
      <c r="A333" s="2"/>
      <c r="D333" s="275"/>
    </row>
    <row r="334" spans="1:8" x14ac:dyDescent="0.2">
      <c r="A334" s="2"/>
      <c r="C334" s="7"/>
      <c r="D334" s="276" t="s">
        <v>2544</v>
      </c>
      <c r="E334" s="7"/>
      <c r="F334" s="7" t="s">
        <v>2540</v>
      </c>
      <c r="G334" s="7" t="s">
        <v>2523</v>
      </c>
    </row>
    <row r="335" spans="1:8" x14ac:dyDescent="0.2">
      <c r="A335" s="2"/>
      <c r="C335" s="7"/>
      <c r="D335" s="276" t="s">
        <v>2545</v>
      </c>
      <c r="E335" s="7"/>
      <c r="F335" s="7" t="s">
        <v>2541</v>
      </c>
      <c r="G335" s="7"/>
    </row>
    <row r="336" spans="1:8" x14ac:dyDescent="0.2">
      <c r="A336" s="2"/>
      <c r="C336" s="7"/>
      <c r="D336" s="276" t="s">
        <v>2546</v>
      </c>
      <c r="E336" s="7"/>
      <c r="F336" s="7" t="s">
        <v>2542</v>
      </c>
      <c r="G336" s="7"/>
      <c r="H336"/>
    </row>
    <row r="337" spans="1:8" x14ac:dyDescent="0.2">
      <c r="A337" s="2"/>
      <c r="C337" s="7"/>
      <c r="D337" s="276"/>
      <c r="E337" s="7"/>
      <c r="F337" s="7" t="s">
        <v>2543</v>
      </c>
      <c r="G337" s="7"/>
    </row>
    <row r="338" spans="1:8" x14ac:dyDescent="0.2">
      <c r="A338" s="2"/>
      <c r="D338" s="275"/>
      <c r="G338" s="1" t="s">
        <v>2561</v>
      </c>
    </row>
    <row r="339" spans="1:8" x14ac:dyDescent="0.2">
      <c r="A339" s="2"/>
      <c r="D339" s="275"/>
      <c r="G339" s="1" t="s">
        <v>2562</v>
      </c>
    </row>
    <row r="340" spans="1:8" x14ac:dyDescent="0.2">
      <c r="A340" s="2"/>
      <c r="C340" s="7"/>
      <c r="D340" s="276" t="s">
        <v>2552</v>
      </c>
      <c r="F340" s="7" t="s">
        <v>2549</v>
      </c>
      <c r="G340" s="1" t="s">
        <v>2563</v>
      </c>
    </row>
    <row r="341" spans="1:8" x14ac:dyDescent="0.2">
      <c r="A341" s="2"/>
      <c r="C341" s="7"/>
      <c r="D341" s="276" t="s">
        <v>2553</v>
      </c>
      <c r="F341" s="7" t="s">
        <v>2550</v>
      </c>
    </row>
    <row r="342" spans="1:8" x14ac:dyDescent="0.2">
      <c r="A342" s="2"/>
      <c r="C342" s="7"/>
      <c r="D342" s="276" t="s">
        <v>2554</v>
      </c>
      <c r="F342" s="7" t="s">
        <v>2551</v>
      </c>
    </row>
    <row r="343" spans="1:8" x14ac:dyDescent="0.2">
      <c r="A343" s="2"/>
      <c r="C343" s="7"/>
      <c r="D343" s="276"/>
      <c r="F343" s="7"/>
    </row>
    <row r="344" spans="1:8" x14ac:dyDescent="0.2">
      <c r="A344" s="2"/>
      <c r="C344" s="7"/>
      <c r="D344" s="276"/>
      <c r="F344" s="7"/>
    </row>
    <row r="345" spans="1:8" x14ac:dyDescent="0.2">
      <c r="A345" s="2"/>
      <c r="D345" s="276" t="s">
        <v>2565</v>
      </c>
    </row>
    <row r="346" spans="1:8" x14ac:dyDescent="0.2">
      <c r="A346" s="2"/>
      <c r="D346" s="276" t="s">
        <v>2566</v>
      </c>
    </row>
    <row r="347" spans="1:8" x14ac:dyDescent="0.2">
      <c r="A347" s="2"/>
      <c r="D347" s="276" t="s">
        <v>2567</v>
      </c>
    </row>
    <row r="348" spans="1:8" x14ac:dyDescent="0.2">
      <c r="A348" s="2"/>
      <c r="D348" s="276" t="s">
        <v>2568</v>
      </c>
    </row>
    <row r="349" spans="1:8" ht="17" thickBot="1" x14ac:dyDescent="0.25">
      <c r="A349" s="18"/>
    </row>
    <row r="350" spans="1:8" x14ac:dyDescent="0.2">
      <c r="A350" s="212" t="s">
        <v>2571</v>
      </c>
      <c r="B350" s="32"/>
      <c r="C350" s="32"/>
      <c r="D350" s="32"/>
      <c r="E350" s="32"/>
      <c r="F350" s="32"/>
      <c r="G350" s="32"/>
      <c r="H350" s="33"/>
    </row>
    <row r="351" spans="1:8" x14ac:dyDescent="0.2">
      <c r="A351" s="213" t="s">
        <v>2572</v>
      </c>
      <c r="H351" s="35"/>
    </row>
    <row r="352" spans="1:8" x14ac:dyDescent="0.2">
      <c r="A352" s="213"/>
      <c r="H352" s="35"/>
    </row>
    <row r="353" spans="1:8" x14ac:dyDescent="0.2">
      <c r="A353" s="213" t="s">
        <v>2573</v>
      </c>
      <c r="H353" s="35"/>
    </row>
    <row r="354" spans="1:8" ht="17" thickBot="1" x14ac:dyDescent="0.25">
      <c r="A354" s="214" t="s">
        <v>2574</v>
      </c>
      <c r="B354" s="37"/>
      <c r="C354" s="37"/>
      <c r="D354" s="37"/>
      <c r="E354" s="37"/>
      <c r="F354" s="37"/>
      <c r="G354" s="37"/>
      <c r="H354" s="38"/>
    </row>
    <row r="355" spans="1:8" x14ac:dyDescent="0.2">
      <c r="A355" s="18"/>
    </row>
    <row r="356" spans="1:8" x14ac:dyDescent="0.2">
      <c r="A356" s="2" t="s">
        <v>151</v>
      </c>
    </row>
    <row r="357" spans="1:8" x14ac:dyDescent="0.2">
      <c r="A357" s="2" t="s">
        <v>247</v>
      </c>
    </row>
    <row r="358" spans="1:8" x14ac:dyDescent="0.2">
      <c r="A358" s="18"/>
    </row>
    <row r="359" spans="1:8" x14ac:dyDescent="0.2">
      <c r="A359" s="2" t="s">
        <v>152</v>
      </c>
    </row>
    <row r="360" spans="1:8" x14ac:dyDescent="0.2">
      <c r="A360" s="2" t="s">
        <v>153</v>
      </c>
    </row>
    <row r="361" spans="1:8" x14ac:dyDescent="0.2">
      <c r="A361" s="18"/>
      <c r="G361" s="8"/>
    </row>
    <row r="362" spans="1:8" x14ac:dyDescent="0.2">
      <c r="A362" s="18" t="s">
        <v>154</v>
      </c>
    </row>
    <row r="363" spans="1:8" x14ac:dyDescent="0.2">
      <c r="A363" s="18"/>
    </row>
    <row r="364" spans="1:8" x14ac:dyDescent="0.2">
      <c r="A364" s="18" t="s">
        <v>155</v>
      </c>
    </row>
    <row r="365" spans="1:8" x14ac:dyDescent="0.2">
      <c r="A365" s="18" t="s">
        <v>156</v>
      </c>
    </row>
    <row r="366" spans="1:8" x14ac:dyDescent="0.2">
      <c r="A366" s="18"/>
      <c r="B366" s="1" t="s">
        <v>157</v>
      </c>
      <c r="C366" s="1" t="s">
        <v>158</v>
      </c>
    </row>
    <row r="367" spans="1:8" x14ac:dyDescent="0.2">
      <c r="A367" s="18"/>
      <c r="C367" s="1" t="s">
        <v>159</v>
      </c>
    </row>
    <row r="368" spans="1:8" x14ac:dyDescent="0.2">
      <c r="A368" s="18" t="s">
        <v>160</v>
      </c>
    </row>
    <row r="369" spans="1:7" x14ac:dyDescent="0.2">
      <c r="A369" s="18"/>
      <c r="B369" s="1" t="s">
        <v>161</v>
      </c>
    </row>
    <row r="370" spans="1:7" x14ac:dyDescent="0.2">
      <c r="A370" s="18"/>
      <c r="B370" s="1" t="s">
        <v>162</v>
      </c>
    </row>
    <row r="371" spans="1:7" x14ac:dyDescent="0.2">
      <c r="A371" s="18"/>
    </row>
    <row r="372" spans="1:7" x14ac:dyDescent="0.2">
      <c r="A372" s="215" t="s">
        <v>2575</v>
      </c>
    </row>
    <row r="373" spans="1:7" x14ac:dyDescent="0.2">
      <c r="A373" s="18"/>
    </row>
    <row r="374" spans="1:7" x14ac:dyDescent="0.2">
      <c r="A374" s="2" t="s">
        <v>163</v>
      </c>
      <c r="C374" s="11">
        <f>3000000/25*2/12</f>
        <v>20000</v>
      </c>
      <c r="F374" s="1" t="s">
        <v>3324</v>
      </c>
      <c r="G374" s="1" t="s">
        <v>3322</v>
      </c>
    </row>
    <row r="375" spans="1:7" x14ac:dyDescent="0.2">
      <c r="A375" s="18"/>
      <c r="G375" s="1" t="s">
        <v>3323</v>
      </c>
    </row>
    <row r="376" spans="1:7" x14ac:dyDescent="0.2">
      <c r="C376" s="10" t="s">
        <v>102</v>
      </c>
      <c r="D376" s="10" t="s">
        <v>103</v>
      </c>
    </row>
    <row r="377" spans="1:7" x14ac:dyDescent="0.2">
      <c r="A377" s="1" t="s">
        <v>148</v>
      </c>
      <c r="C377" s="11">
        <f>C311*2/3</f>
        <v>20000</v>
      </c>
    </row>
    <row r="378" spans="1:7" x14ac:dyDescent="0.2">
      <c r="A378" s="1" t="s">
        <v>165</v>
      </c>
      <c r="D378" s="11">
        <f>C377</f>
        <v>20000</v>
      </c>
    </row>
    <row r="380" spans="1:7" x14ac:dyDescent="0.2">
      <c r="A380" s="216" t="s">
        <v>2576</v>
      </c>
    </row>
    <row r="381" spans="1:7" x14ac:dyDescent="0.2">
      <c r="C381" s="14">
        <v>42430</v>
      </c>
    </row>
    <row r="382" spans="1:7" x14ac:dyDescent="0.2">
      <c r="A382" s="1" t="s">
        <v>117</v>
      </c>
      <c r="C382" s="20">
        <f>4200000/5</f>
        <v>840000</v>
      </c>
      <c r="F382" s="1" t="s">
        <v>166</v>
      </c>
      <c r="G382" s="1" t="s">
        <v>3321</v>
      </c>
    </row>
    <row r="383" spans="1:7" x14ac:dyDescent="0.2">
      <c r="A383" s="1" t="s">
        <v>119</v>
      </c>
      <c r="C383" s="27">
        <f>(-C311-C377)*1/5</f>
        <v>-10000</v>
      </c>
      <c r="F383" s="1" t="s">
        <v>167</v>
      </c>
      <c r="G383" s="1" t="s">
        <v>3325</v>
      </c>
    </row>
    <row r="384" spans="1:7" x14ac:dyDescent="0.2">
      <c r="A384" s="1" t="s">
        <v>120</v>
      </c>
      <c r="C384" s="15">
        <f>C382+C383</f>
        <v>830000</v>
      </c>
      <c r="G384" s="1" t="s">
        <v>2577</v>
      </c>
    </row>
    <row r="385" spans="1:11" x14ac:dyDescent="0.2">
      <c r="D385" s="1" t="s">
        <v>1456</v>
      </c>
    </row>
    <row r="386" spans="1:11" x14ac:dyDescent="0.2">
      <c r="A386" s="1" t="s">
        <v>168</v>
      </c>
      <c r="C386" s="20">
        <f>B116*1/5</f>
        <v>1040000</v>
      </c>
      <c r="F386" s="1" t="s">
        <v>169</v>
      </c>
      <c r="G386" s="1" t="s">
        <v>2578</v>
      </c>
    </row>
    <row r="387" spans="1:11" ht="17" thickBot="1" x14ac:dyDescent="0.25"/>
    <row r="388" spans="1:11" x14ac:dyDescent="0.2">
      <c r="A388" s="1" t="s">
        <v>170</v>
      </c>
      <c r="C388" s="11">
        <f>C386-C384</f>
        <v>210000</v>
      </c>
      <c r="F388" s="1" t="s">
        <v>171</v>
      </c>
      <c r="H388" s="46" t="s">
        <v>2579</v>
      </c>
      <c r="I388" s="32"/>
      <c r="J388" s="32"/>
      <c r="K388" s="33"/>
    </row>
    <row r="389" spans="1:11" x14ac:dyDescent="0.2">
      <c r="H389" s="34" t="s">
        <v>2580</v>
      </c>
      <c r="K389" s="35"/>
    </row>
    <row r="390" spans="1:11" x14ac:dyDescent="0.2">
      <c r="A390" s="21" t="s">
        <v>172</v>
      </c>
      <c r="H390" s="34" t="s">
        <v>2581</v>
      </c>
      <c r="K390" s="35"/>
    </row>
    <row r="391" spans="1:11" ht="17" thickBot="1" x14ac:dyDescent="0.25">
      <c r="A391" s="1" t="s">
        <v>173</v>
      </c>
      <c r="H391" s="36" t="s">
        <v>2582</v>
      </c>
      <c r="I391" s="37"/>
      <c r="J391" s="37"/>
      <c r="K391" s="38"/>
    </row>
    <row r="392" spans="1:11" x14ac:dyDescent="0.2">
      <c r="A392" s="1" t="s">
        <v>248</v>
      </c>
    </row>
    <row r="393" spans="1:11" x14ac:dyDescent="0.2">
      <c r="A393" s="1" t="s">
        <v>174</v>
      </c>
    </row>
    <row r="394" spans="1:11" x14ac:dyDescent="0.2">
      <c r="A394" s="1" t="s">
        <v>175</v>
      </c>
    </row>
    <row r="395" spans="1:11" x14ac:dyDescent="0.2">
      <c r="A395" s="1" t="s">
        <v>176</v>
      </c>
    </row>
    <row r="396" spans="1:11" x14ac:dyDescent="0.2">
      <c r="A396" s="1" t="s">
        <v>177</v>
      </c>
    </row>
    <row r="398" spans="1:11" x14ac:dyDescent="0.2">
      <c r="A398" s="1" t="s">
        <v>178</v>
      </c>
    </row>
    <row r="399" spans="1:11" x14ac:dyDescent="0.2">
      <c r="A399" s="1" t="s">
        <v>179</v>
      </c>
    </row>
    <row r="400" spans="1:11" x14ac:dyDescent="0.2">
      <c r="A400" s="1" t="s">
        <v>180</v>
      </c>
    </row>
    <row r="402" spans="1:4" x14ac:dyDescent="0.2">
      <c r="A402" s="68" t="s">
        <v>2583</v>
      </c>
      <c r="B402" s="66"/>
      <c r="C402" s="66"/>
      <c r="D402" s="66"/>
    </row>
    <row r="404" spans="1:4" x14ac:dyDescent="0.2">
      <c r="A404" s="3" t="s">
        <v>181</v>
      </c>
      <c r="B404" s="3"/>
      <c r="C404" s="10" t="s">
        <v>102</v>
      </c>
      <c r="D404" s="10" t="s">
        <v>103</v>
      </c>
    </row>
    <row r="405" spans="1:4" x14ac:dyDescent="0.2">
      <c r="A405" s="1" t="s">
        <v>149</v>
      </c>
      <c r="C405" s="28">
        <f>-C383</f>
        <v>10000</v>
      </c>
    </row>
    <row r="406" spans="1:4" x14ac:dyDescent="0.2">
      <c r="A406" s="1" t="s">
        <v>104</v>
      </c>
      <c r="D406" s="28">
        <f>C405</f>
        <v>10000</v>
      </c>
    </row>
    <row r="407" spans="1:4" ht="15" customHeight="1" x14ac:dyDescent="0.2">
      <c r="D407" s="11"/>
    </row>
    <row r="408" spans="1:4" ht="15" customHeight="1" x14ac:dyDescent="0.2">
      <c r="A408" s="1" t="s">
        <v>182</v>
      </c>
      <c r="D408" s="11"/>
    </row>
    <row r="409" spans="1:4" ht="15" customHeight="1" x14ac:dyDescent="0.2">
      <c r="C409" s="1" t="s">
        <v>183</v>
      </c>
      <c r="D409" s="11" t="s">
        <v>184</v>
      </c>
    </row>
    <row r="410" spans="1:4" ht="15" customHeight="1" x14ac:dyDescent="0.2">
      <c r="C410" s="14">
        <v>42430</v>
      </c>
      <c r="D410" s="14">
        <v>42430</v>
      </c>
    </row>
    <row r="411" spans="1:4" ht="15" customHeight="1" x14ac:dyDescent="0.2">
      <c r="A411" s="1" t="s">
        <v>117</v>
      </c>
      <c r="C411" s="20">
        <f>4200000/5</f>
        <v>840000</v>
      </c>
      <c r="D411" s="20">
        <v>830000</v>
      </c>
    </row>
    <row r="412" spans="1:4" ht="15" customHeight="1" x14ac:dyDescent="0.2">
      <c r="A412" s="1" t="s">
        <v>119</v>
      </c>
      <c r="C412" s="27">
        <v>-10000</v>
      </c>
      <c r="D412" s="17">
        <v>0</v>
      </c>
    </row>
    <row r="413" spans="1:4" ht="15" customHeight="1" x14ac:dyDescent="0.2">
      <c r="A413" s="1" t="s">
        <v>120</v>
      </c>
      <c r="C413" s="15">
        <f>C411+C412</f>
        <v>830000</v>
      </c>
      <c r="D413" s="15">
        <f>D411+D412</f>
        <v>830000</v>
      </c>
    </row>
    <row r="414" spans="1:4" ht="15" customHeight="1" x14ac:dyDescent="0.2">
      <c r="D414" s="11"/>
    </row>
    <row r="415" spans="1:4" ht="15" customHeight="1" x14ac:dyDescent="0.2">
      <c r="A415" s="1" t="s">
        <v>185</v>
      </c>
      <c r="C415" s="11">
        <f>C388</f>
        <v>210000</v>
      </c>
      <c r="D415" s="11"/>
    </row>
    <row r="416" spans="1:4" ht="15" customHeight="1" x14ac:dyDescent="0.2">
      <c r="D416" s="11"/>
    </row>
    <row r="417" spans="1:9" ht="15" customHeight="1" x14ac:dyDescent="0.2">
      <c r="A417" s="68" t="s">
        <v>2584</v>
      </c>
      <c r="D417" s="11"/>
    </row>
    <row r="418" spans="1:9" ht="15" customHeight="1" x14ac:dyDescent="0.2">
      <c r="D418" s="11"/>
      <c r="F418" s="11" t="s">
        <v>184</v>
      </c>
      <c r="G418" s="1" t="s">
        <v>2585</v>
      </c>
    </row>
    <row r="419" spans="1:9" x14ac:dyDescent="0.2">
      <c r="A419" s="3" t="s">
        <v>186</v>
      </c>
      <c r="C419" s="10" t="s">
        <v>102</v>
      </c>
      <c r="D419" s="10" t="s">
        <v>103</v>
      </c>
      <c r="F419" s="14">
        <v>42430</v>
      </c>
      <c r="G419" s="10" t="s">
        <v>2586</v>
      </c>
    </row>
    <row r="420" spans="1:9" x14ac:dyDescent="0.2">
      <c r="A420" s="1" t="s">
        <v>104</v>
      </c>
      <c r="C420" s="11">
        <f>C388</f>
        <v>210000</v>
      </c>
      <c r="F420" s="20">
        <v>830000</v>
      </c>
      <c r="G420" s="20">
        <f>F420+210000</f>
        <v>1040000</v>
      </c>
      <c r="I420" s="1" t="s">
        <v>2587</v>
      </c>
    </row>
    <row r="421" spans="1:9" x14ac:dyDescent="0.2">
      <c r="A421" s="1" t="s">
        <v>187</v>
      </c>
      <c r="D421" s="11">
        <f>C420</f>
        <v>210000</v>
      </c>
      <c r="F421" s="17">
        <v>0</v>
      </c>
      <c r="G421" s="17">
        <v>0</v>
      </c>
    </row>
    <row r="422" spans="1:9" x14ac:dyDescent="0.2">
      <c r="F422" s="15">
        <f>F420+F421</f>
        <v>830000</v>
      </c>
      <c r="G422" s="15">
        <f>G420</f>
        <v>1040000</v>
      </c>
    </row>
    <row r="423" spans="1:9" x14ac:dyDescent="0.2">
      <c r="A423" s="68" t="s">
        <v>188</v>
      </c>
    </row>
    <row r="425" spans="1:9" x14ac:dyDescent="0.2">
      <c r="A425" s="1" t="s">
        <v>189</v>
      </c>
      <c r="C425" s="10" t="s">
        <v>102</v>
      </c>
      <c r="D425" s="10" t="s">
        <v>103</v>
      </c>
    </row>
    <row r="426" spans="1:9" x14ac:dyDescent="0.2">
      <c r="A426" s="1" t="s">
        <v>190</v>
      </c>
      <c r="C426" s="11">
        <f>C386</f>
        <v>1040000</v>
      </c>
    </row>
    <row r="427" spans="1:9" x14ac:dyDescent="0.2">
      <c r="A427" s="1" t="s">
        <v>104</v>
      </c>
      <c r="D427" s="11">
        <f>C426</f>
        <v>1040000</v>
      </c>
    </row>
    <row r="429" spans="1:9" x14ac:dyDescent="0.2">
      <c r="A429" s="1" t="s">
        <v>249</v>
      </c>
    </row>
    <row r="430" spans="1:9" x14ac:dyDescent="0.2">
      <c r="A430" s="1" t="s">
        <v>250</v>
      </c>
    </row>
    <row r="431" spans="1:9" x14ac:dyDescent="0.2">
      <c r="A431" s="1" t="s">
        <v>251</v>
      </c>
    </row>
    <row r="433" spans="1:10" x14ac:dyDescent="0.2">
      <c r="A433" s="1" t="s">
        <v>191</v>
      </c>
    </row>
    <row r="434" spans="1:10" x14ac:dyDescent="0.2">
      <c r="A434" s="1" t="s">
        <v>192</v>
      </c>
    </row>
    <row r="435" spans="1:10" x14ac:dyDescent="0.2">
      <c r="A435" s="1" t="s">
        <v>193</v>
      </c>
    </row>
    <row r="437" spans="1:10" x14ac:dyDescent="0.2">
      <c r="A437" s="1" t="s">
        <v>194</v>
      </c>
    </row>
    <row r="438" spans="1:10" x14ac:dyDescent="0.2">
      <c r="D438" s="1" t="s">
        <v>2588</v>
      </c>
    </row>
    <row r="440" spans="1:10" x14ac:dyDescent="0.2">
      <c r="B440" s="1" t="s">
        <v>412</v>
      </c>
      <c r="C440" s="1" t="s">
        <v>2590</v>
      </c>
      <c r="E440" s="1" t="s">
        <v>2589</v>
      </c>
    </row>
    <row r="443" spans="1:10" x14ac:dyDescent="0.2">
      <c r="A443" s="277" t="s">
        <v>116</v>
      </c>
      <c r="B443" s="277"/>
      <c r="C443" s="141">
        <v>42430</v>
      </c>
      <c r="E443" s="277" t="s">
        <v>195</v>
      </c>
      <c r="F443" s="10"/>
      <c r="G443" s="14">
        <v>42430</v>
      </c>
    </row>
    <row r="444" spans="1:10" x14ac:dyDescent="0.2">
      <c r="A444" s="1" t="s">
        <v>117</v>
      </c>
      <c r="C444" s="11">
        <f>B451</f>
        <v>3360000</v>
      </c>
      <c r="E444" s="1" t="s">
        <v>120</v>
      </c>
      <c r="G444" s="11">
        <f>D427</f>
        <v>1040000</v>
      </c>
      <c r="J444" s="1" t="s">
        <v>169</v>
      </c>
    </row>
    <row r="445" spans="1:10" x14ac:dyDescent="0.2">
      <c r="A445" s="1" t="s">
        <v>119</v>
      </c>
      <c r="C445" s="17">
        <f>C318-C377-C383</f>
        <v>-40000</v>
      </c>
    </row>
    <row r="446" spans="1:10" x14ac:dyDescent="0.2">
      <c r="A446" s="1" t="s">
        <v>196</v>
      </c>
      <c r="C446" s="15">
        <f>C444+C445</f>
        <v>3320000</v>
      </c>
      <c r="I446" s="1" t="s">
        <v>2565</v>
      </c>
      <c r="J446" s="1" t="s">
        <v>3326</v>
      </c>
    </row>
    <row r="447" spans="1:10" x14ac:dyDescent="0.2">
      <c r="I447" s="1" t="s">
        <v>2566</v>
      </c>
    </row>
    <row r="448" spans="1:10" x14ac:dyDescent="0.2">
      <c r="A448" s="1" t="s">
        <v>148</v>
      </c>
      <c r="C448" s="11">
        <f>C377</f>
        <v>20000</v>
      </c>
    </row>
    <row r="449" spans="1:7" x14ac:dyDescent="0.2">
      <c r="A449" s="1" t="s">
        <v>187</v>
      </c>
      <c r="C449" s="11">
        <f>D421</f>
        <v>210000</v>
      </c>
    </row>
    <row r="451" spans="1:7" x14ac:dyDescent="0.2">
      <c r="A451" s="1" t="s">
        <v>197</v>
      </c>
      <c r="B451" s="11">
        <f>4200000*4/5</f>
        <v>3360000</v>
      </c>
      <c r="D451" s="1" t="s">
        <v>198</v>
      </c>
      <c r="E451" s="1" t="s">
        <v>2591</v>
      </c>
    </row>
    <row r="452" spans="1:7" x14ac:dyDescent="0.2">
      <c r="A452" s="1" t="s">
        <v>199</v>
      </c>
      <c r="B452" s="11">
        <v>40000</v>
      </c>
      <c r="D452" s="1" t="s">
        <v>200</v>
      </c>
    </row>
    <row r="455" spans="1:7" x14ac:dyDescent="0.2">
      <c r="E455" s="1" t="s">
        <v>3327</v>
      </c>
    </row>
    <row r="456" spans="1:7" x14ac:dyDescent="0.2">
      <c r="B456" s="1" t="s">
        <v>2593</v>
      </c>
    </row>
    <row r="457" spans="1:7" x14ac:dyDescent="0.2">
      <c r="B457" s="1" t="s">
        <v>2594</v>
      </c>
      <c r="D457" s="1" t="s">
        <v>2592</v>
      </c>
    </row>
    <row r="458" spans="1:7" ht="23" x14ac:dyDescent="0.25">
      <c r="A458" s="29"/>
      <c r="B458" s="1" t="s">
        <v>2595</v>
      </c>
      <c r="C458" s="29"/>
      <c r="D458" s="29"/>
      <c r="E458" s="29"/>
      <c r="F458" s="29"/>
      <c r="G458" s="29"/>
    </row>
    <row r="461" spans="1:7" x14ac:dyDescent="0.2">
      <c r="A461" s="12">
        <v>42735</v>
      </c>
      <c r="B461" s="13"/>
      <c r="C461" s="13"/>
      <c r="D461" s="13"/>
    </row>
    <row r="463" spans="1:7" x14ac:dyDescent="0.2">
      <c r="A463" s="3" t="s">
        <v>2599</v>
      </c>
      <c r="C463" s="7">
        <v>4</v>
      </c>
      <c r="D463" s="7"/>
      <c r="E463" s="7">
        <v>1</v>
      </c>
    </row>
    <row r="464" spans="1:7" x14ac:dyDescent="0.2">
      <c r="C464" s="7" t="s">
        <v>2596</v>
      </c>
      <c r="D464" s="7"/>
      <c r="E464" s="7" t="s">
        <v>2597</v>
      </c>
    </row>
    <row r="465" spans="1:9" x14ac:dyDescent="0.2">
      <c r="C465" s="7" t="s">
        <v>412</v>
      </c>
      <c r="D465" s="7"/>
      <c r="E465" s="7" t="s">
        <v>2598</v>
      </c>
    </row>
    <row r="466" spans="1:9" x14ac:dyDescent="0.2">
      <c r="A466" s="1" t="s">
        <v>2600</v>
      </c>
      <c r="B466" s="2">
        <v>42430</v>
      </c>
      <c r="E466" s="42">
        <v>1040000</v>
      </c>
    </row>
    <row r="468" spans="1:9" x14ac:dyDescent="0.2">
      <c r="C468" s="1" t="s">
        <v>2605</v>
      </c>
      <c r="E468" s="1" t="s">
        <v>2604</v>
      </c>
    </row>
    <row r="471" spans="1:9" x14ac:dyDescent="0.2">
      <c r="A471" s="1" t="s">
        <v>2601</v>
      </c>
      <c r="B471" s="2">
        <v>42735</v>
      </c>
      <c r="E471" s="42">
        <f>5350000*1/5</f>
        <v>1070000</v>
      </c>
      <c r="F471" s="1" t="s">
        <v>2603</v>
      </c>
      <c r="G471" s="11">
        <v>5350000</v>
      </c>
    </row>
    <row r="472" spans="1:9" x14ac:dyDescent="0.2">
      <c r="G472" s="1" t="s">
        <v>2602</v>
      </c>
    </row>
    <row r="474" spans="1:9" x14ac:dyDescent="0.2">
      <c r="A474" s="1" t="s">
        <v>425</v>
      </c>
    </row>
    <row r="475" spans="1:9" x14ac:dyDescent="0.2">
      <c r="A475" s="1" t="s">
        <v>426</v>
      </c>
      <c r="E475" s="1" t="s">
        <v>427</v>
      </c>
    </row>
    <row r="476" spans="1:9" x14ac:dyDescent="0.2">
      <c r="E476" s="1" t="s">
        <v>428</v>
      </c>
    </row>
    <row r="478" spans="1:9" x14ac:dyDescent="0.2">
      <c r="A478" s="1" t="s">
        <v>308</v>
      </c>
      <c r="B478" s="1" t="s">
        <v>2612</v>
      </c>
    </row>
    <row r="479" spans="1:9" ht="17" thickBot="1" x14ac:dyDescent="0.25">
      <c r="H479" s="1" t="s">
        <v>2616</v>
      </c>
    </row>
    <row r="480" spans="1:9" ht="17" thickBot="1" x14ac:dyDescent="0.25">
      <c r="C480" s="11">
        <f>3000000/25*4/5</f>
        <v>96000</v>
      </c>
      <c r="F480" s="1" t="s">
        <v>201</v>
      </c>
      <c r="G480" s="7">
        <v>1</v>
      </c>
      <c r="H480" s="196" t="s">
        <v>2618</v>
      </c>
      <c r="I480" s="1" t="s">
        <v>2619</v>
      </c>
    </row>
    <row r="481" spans="1:9" ht="17" thickBot="1" x14ac:dyDescent="0.25">
      <c r="G481" s="7">
        <v>2</v>
      </c>
      <c r="H481" s="163" t="s">
        <v>2615</v>
      </c>
    </row>
    <row r="482" spans="1:9" ht="17" thickBot="1" x14ac:dyDescent="0.25">
      <c r="G482" s="7">
        <v>3</v>
      </c>
      <c r="H482" s="163" t="s">
        <v>2615</v>
      </c>
      <c r="I482" s="1" t="s">
        <v>2617</v>
      </c>
    </row>
    <row r="483" spans="1:9" ht="17" thickBot="1" x14ac:dyDescent="0.25">
      <c r="B483" s="1" t="s">
        <v>2610</v>
      </c>
      <c r="F483" s="1" t="s">
        <v>2606</v>
      </c>
      <c r="G483" s="7">
        <v>4</v>
      </c>
      <c r="H483" s="163" t="s">
        <v>2615</v>
      </c>
    </row>
    <row r="484" spans="1:9" ht="17" thickBot="1" x14ac:dyDescent="0.25">
      <c r="B484" s="1" t="s">
        <v>2611</v>
      </c>
      <c r="D484" s="1" t="s">
        <v>2608</v>
      </c>
      <c r="G484" s="7">
        <v>5</v>
      </c>
      <c r="H484" s="163" t="s">
        <v>2615</v>
      </c>
    </row>
    <row r="485" spans="1:9" x14ac:dyDescent="0.2">
      <c r="D485" s="1" t="s">
        <v>2609</v>
      </c>
      <c r="E485" s="1" t="s">
        <v>2607</v>
      </c>
    </row>
    <row r="487" spans="1:9" x14ac:dyDescent="0.2">
      <c r="B487" s="1" t="s">
        <v>2613</v>
      </c>
    </row>
    <row r="489" spans="1:9" x14ac:dyDescent="0.2">
      <c r="C489" s="11">
        <f>3000000/25*1/5*2/12</f>
        <v>4000</v>
      </c>
      <c r="F489" s="1" t="s">
        <v>2614</v>
      </c>
    </row>
    <row r="491" spans="1:9" x14ac:dyDescent="0.2">
      <c r="B491" s="1" t="s">
        <v>2620</v>
      </c>
      <c r="F491" s="11">
        <f>C480+C489</f>
        <v>100000</v>
      </c>
      <c r="H491" s="1" t="s">
        <v>3328</v>
      </c>
    </row>
    <row r="493" spans="1:9" x14ac:dyDescent="0.2">
      <c r="A493" s="3" t="s">
        <v>2621</v>
      </c>
    </row>
    <row r="494" spans="1:9" x14ac:dyDescent="0.2">
      <c r="D494" s="10" t="s">
        <v>102</v>
      </c>
      <c r="E494" s="10" t="s">
        <v>103</v>
      </c>
    </row>
    <row r="495" spans="1:9" x14ac:dyDescent="0.2">
      <c r="B495" s="1" t="s">
        <v>148</v>
      </c>
      <c r="D495" s="11">
        <f>F491</f>
        <v>100000</v>
      </c>
      <c r="F495" s="1" t="s">
        <v>2623</v>
      </c>
    </row>
    <row r="496" spans="1:9" x14ac:dyDescent="0.2">
      <c r="C496" s="1" t="s">
        <v>2622</v>
      </c>
      <c r="E496" s="11">
        <f>D495</f>
        <v>100000</v>
      </c>
    </row>
    <row r="498" spans="1:10" x14ac:dyDescent="0.2">
      <c r="A498" s="3" t="s">
        <v>2624</v>
      </c>
    </row>
    <row r="499" spans="1:10" x14ac:dyDescent="0.2">
      <c r="D499" s="10" t="s">
        <v>102</v>
      </c>
      <c r="E499" s="10" t="s">
        <v>103</v>
      </c>
    </row>
    <row r="500" spans="1:10" x14ac:dyDescent="0.2">
      <c r="B500" s="1" t="s">
        <v>190</v>
      </c>
      <c r="D500" s="11">
        <f>30000</f>
        <v>30000</v>
      </c>
      <c r="E500" s="11"/>
      <c r="G500" s="1" t="s">
        <v>2625</v>
      </c>
    </row>
    <row r="501" spans="1:10" x14ac:dyDescent="0.2">
      <c r="C501" s="1" t="s">
        <v>312</v>
      </c>
      <c r="D501" s="11"/>
      <c r="E501" s="11">
        <f>D500</f>
        <v>30000</v>
      </c>
      <c r="G501" s="1" t="s">
        <v>2626</v>
      </c>
    </row>
    <row r="502" spans="1:10" x14ac:dyDescent="0.2">
      <c r="G502" s="1" t="s">
        <v>2627</v>
      </c>
    </row>
    <row r="503" spans="1:10" ht="17" thickBot="1" x14ac:dyDescent="0.25"/>
    <row r="504" spans="1:10" x14ac:dyDescent="0.2">
      <c r="A504" s="31" t="s">
        <v>2631</v>
      </c>
      <c r="B504" s="32"/>
      <c r="C504" s="32"/>
      <c r="D504" s="32"/>
      <c r="E504" s="32"/>
      <c r="F504" s="32"/>
      <c r="G504" s="32"/>
      <c r="H504" s="32"/>
      <c r="I504" s="32"/>
      <c r="J504" s="33"/>
    </row>
    <row r="505" spans="1:10" x14ac:dyDescent="0.2">
      <c r="A505" s="34"/>
      <c r="J505" s="35"/>
    </row>
    <row r="506" spans="1:10" x14ac:dyDescent="0.2">
      <c r="A506" s="34" t="s">
        <v>116</v>
      </c>
      <c r="C506" s="14">
        <v>42735</v>
      </c>
      <c r="G506" s="1" t="s">
        <v>195</v>
      </c>
      <c r="I506" s="14">
        <v>42735</v>
      </c>
      <c r="J506" s="35"/>
    </row>
    <row r="507" spans="1:10" x14ac:dyDescent="0.2">
      <c r="A507" s="34" t="s">
        <v>117</v>
      </c>
      <c r="C507" s="11">
        <f>C317-D406+C420-D427</f>
        <v>3360000</v>
      </c>
      <c r="D507" s="331" t="s">
        <v>198</v>
      </c>
      <c r="E507" s="331"/>
      <c r="G507" s="1" t="s">
        <v>120</v>
      </c>
      <c r="I507" s="11">
        <f>E471</f>
        <v>1070000</v>
      </c>
      <c r="J507" s="35"/>
    </row>
    <row r="508" spans="1:10" x14ac:dyDescent="0.2">
      <c r="A508" s="34" t="s">
        <v>119</v>
      </c>
      <c r="C508" s="17">
        <f>-3000000/25*1.25*4/5</f>
        <v>-120000</v>
      </c>
      <c r="D508" s="331" t="s">
        <v>2630</v>
      </c>
      <c r="E508" s="331"/>
      <c r="F508" s="331"/>
      <c r="J508" s="35"/>
    </row>
    <row r="509" spans="1:10" x14ac:dyDescent="0.2">
      <c r="A509" s="34" t="s">
        <v>120</v>
      </c>
      <c r="C509" s="15">
        <f>C507+C508</f>
        <v>3240000</v>
      </c>
      <c r="G509" s="1" t="s">
        <v>202</v>
      </c>
      <c r="I509" s="11">
        <v>30000</v>
      </c>
      <c r="J509" s="35"/>
    </row>
    <row r="510" spans="1:10" x14ac:dyDescent="0.2">
      <c r="A510" s="34"/>
      <c r="J510" s="35"/>
    </row>
    <row r="511" spans="1:10" x14ac:dyDescent="0.2">
      <c r="A511" s="34" t="s">
        <v>148</v>
      </c>
      <c r="C511" s="11">
        <f>F491</f>
        <v>100000</v>
      </c>
      <c r="E511" s="1" t="s">
        <v>2628</v>
      </c>
      <c r="J511" s="35"/>
    </row>
    <row r="512" spans="1:10" x14ac:dyDescent="0.2">
      <c r="A512" s="34" t="s">
        <v>203</v>
      </c>
      <c r="C512" s="11">
        <f>D421</f>
        <v>210000</v>
      </c>
      <c r="D512" s="1" t="s">
        <v>2629</v>
      </c>
      <c r="J512" s="35"/>
    </row>
    <row r="513" spans="1:10" x14ac:dyDescent="0.2">
      <c r="A513" s="34" t="s">
        <v>204</v>
      </c>
      <c r="C513" s="11">
        <f>C512</f>
        <v>210000</v>
      </c>
      <c r="J513" s="35"/>
    </row>
    <row r="514" spans="1:10" x14ac:dyDescent="0.2">
      <c r="A514" s="34"/>
      <c r="J514" s="35"/>
    </row>
    <row r="515" spans="1:10" x14ac:dyDescent="0.2">
      <c r="A515" s="34" t="s">
        <v>205</v>
      </c>
      <c r="J515" s="35"/>
    </row>
    <row r="516" spans="1:10" x14ac:dyDescent="0.2">
      <c r="A516" s="34" t="s">
        <v>206</v>
      </c>
      <c r="J516" s="35"/>
    </row>
    <row r="517" spans="1:10" ht="17" thickBot="1" x14ac:dyDescent="0.25">
      <c r="A517" s="36" t="s">
        <v>207</v>
      </c>
      <c r="B517" s="37"/>
      <c r="C517" s="37"/>
      <c r="D517" s="37"/>
      <c r="E517" s="37"/>
      <c r="F517" s="37"/>
      <c r="G517" s="37"/>
      <c r="H517" s="37"/>
      <c r="I517" s="37"/>
      <c r="J517" s="38"/>
    </row>
    <row r="519" spans="1:10" x14ac:dyDescent="0.2">
      <c r="A519" s="22" t="s">
        <v>208</v>
      </c>
      <c r="B519" s="23"/>
      <c r="C519" s="22" t="s">
        <v>429</v>
      </c>
      <c r="D519" s="23"/>
    </row>
    <row r="521" spans="1:10" x14ac:dyDescent="0.2">
      <c r="A521" s="3" t="s">
        <v>209</v>
      </c>
    </row>
    <row r="522" spans="1:10" x14ac:dyDescent="0.2">
      <c r="C522" s="10" t="s">
        <v>102</v>
      </c>
      <c r="D522" s="10" t="s">
        <v>103</v>
      </c>
    </row>
    <row r="523" spans="1:10" x14ac:dyDescent="0.2">
      <c r="A523" s="2">
        <v>41547</v>
      </c>
      <c r="B523" s="1" t="s">
        <v>210</v>
      </c>
      <c r="C523" s="11">
        <v>1200000</v>
      </c>
    </row>
    <row r="524" spans="1:10" x14ac:dyDescent="0.2">
      <c r="A524" s="2">
        <v>41639</v>
      </c>
      <c r="B524" s="1" t="s">
        <v>211</v>
      </c>
      <c r="C524" s="11">
        <f>3000000/24*3</f>
        <v>375000</v>
      </c>
      <c r="F524" s="1" t="s">
        <v>114</v>
      </c>
    </row>
    <row r="525" spans="1:10" x14ac:dyDescent="0.2">
      <c r="A525" s="24">
        <v>41639</v>
      </c>
      <c r="B525" s="5" t="s">
        <v>212</v>
      </c>
      <c r="C525" s="25">
        <f>C523+C524</f>
        <v>1575000</v>
      </c>
    </row>
    <row r="526" spans="1:10" x14ac:dyDescent="0.2">
      <c r="A526" s="2">
        <v>42004</v>
      </c>
      <c r="B526" s="1" t="s">
        <v>211</v>
      </c>
      <c r="C526" s="11">
        <f>3000000/24*12</f>
        <v>1500000</v>
      </c>
      <c r="F526" s="1" t="s">
        <v>129</v>
      </c>
    </row>
    <row r="527" spans="1:10" x14ac:dyDescent="0.2">
      <c r="A527" s="24">
        <v>42004</v>
      </c>
      <c r="B527" s="5" t="s">
        <v>212</v>
      </c>
      <c r="C527" s="25">
        <f>C525+C526</f>
        <v>3075000</v>
      </c>
    </row>
    <row r="528" spans="1:10" x14ac:dyDescent="0.2">
      <c r="A528" s="2">
        <v>42277</v>
      </c>
      <c r="B528" s="1" t="s">
        <v>211</v>
      </c>
      <c r="C528" s="11">
        <f>3000000/24*9</f>
        <v>1125000</v>
      </c>
      <c r="F528" s="1" t="s">
        <v>213</v>
      </c>
    </row>
    <row r="529" spans="1:7" x14ac:dyDescent="0.2">
      <c r="A529" s="24">
        <v>42369</v>
      </c>
      <c r="B529" s="5" t="s">
        <v>212</v>
      </c>
      <c r="C529" s="25">
        <f>C527+C528</f>
        <v>4200000</v>
      </c>
    </row>
    <row r="530" spans="1:7" x14ac:dyDescent="0.2">
      <c r="A530" s="2">
        <v>42430</v>
      </c>
      <c r="B530" s="1" t="s">
        <v>214</v>
      </c>
      <c r="C530" s="11">
        <f>C420</f>
        <v>210000</v>
      </c>
      <c r="D530" s="11">
        <f>D546</f>
        <v>10000</v>
      </c>
      <c r="E530" s="2">
        <v>42430</v>
      </c>
      <c r="F530" s="1" t="s">
        <v>215</v>
      </c>
    </row>
    <row r="531" spans="1:7" x14ac:dyDescent="0.2">
      <c r="D531" s="11">
        <f>C426</f>
        <v>1040000</v>
      </c>
      <c r="E531" s="2">
        <v>42430</v>
      </c>
      <c r="F531" s="1" t="s">
        <v>216</v>
      </c>
    </row>
    <row r="532" spans="1:7" x14ac:dyDescent="0.2">
      <c r="A532" s="24">
        <v>42735</v>
      </c>
      <c r="B532" s="5" t="s">
        <v>212</v>
      </c>
      <c r="C532" s="25">
        <f>C529+C530-D531-D530</f>
        <v>3360000</v>
      </c>
    </row>
    <row r="534" spans="1:7" x14ac:dyDescent="0.2">
      <c r="A534" s="3" t="s">
        <v>217</v>
      </c>
    </row>
    <row r="535" spans="1:7" x14ac:dyDescent="0.2">
      <c r="C535" s="10" t="s">
        <v>102</v>
      </c>
      <c r="D535" s="10" t="s">
        <v>103</v>
      </c>
    </row>
    <row r="536" spans="1:7" x14ac:dyDescent="0.2">
      <c r="A536" s="2">
        <v>42369</v>
      </c>
      <c r="B536" s="1" t="s">
        <v>218</v>
      </c>
      <c r="C536" s="11">
        <f>3000000/25*3/12</f>
        <v>30000</v>
      </c>
      <c r="F536" s="1" t="s">
        <v>146</v>
      </c>
    </row>
    <row r="537" spans="1:7" x14ac:dyDescent="0.2">
      <c r="A537" s="24">
        <v>42369</v>
      </c>
      <c r="B537" s="5" t="s">
        <v>219</v>
      </c>
      <c r="C537" s="25">
        <f>C536</f>
        <v>30000</v>
      </c>
    </row>
    <row r="538" spans="1:7" x14ac:dyDescent="0.2">
      <c r="A538" s="2">
        <v>42430</v>
      </c>
      <c r="B538" s="1" t="s">
        <v>218</v>
      </c>
      <c r="C538" s="11">
        <f>3000000/25*2/12</f>
        <v>20000</v>
      </c>
      <c r="F538" s="1" t="s">
        <v>164</v>
      </c>
    </row>
    <row r="539" spans="1:7" x14ac:dyDescent="0.2">
      <c r="A539" s="2">
        <v>42735</v>
      </c>
      <c r="B539" s="1" t="s">
        <v>218</v>
      </c>
      <c r="C539" s="11">
        <f>3000000*4/5/25*10/12</f>
        <v>80000</v>
      </c>
      <c r="F539" s="1" t="s">
        <v>220</v>
      </c>
    </row>
    <row r="540" spans="1:7" x14ac:dyDescent="0.2">
      <c r="A540" s="24">
        <v>42735</v>
      </c>
      <c r="B540" s="5" t="s">
        <v>221</v>
      </c>
      <c r="C540" s="25">
        <f>C538+C539</f>
        <v>100000</v>
      </c>
    </row>
    <row r="542" spans="1:7" x14ac:dyDescent="0.2">
      <c r="A542" s="3" t="s">
        <v>222</v>
      </c>
    </row>
    <row r="543" spans="1:7" x14ac:dyDescent="0.2">
      <c r="D543" s="10" t="s">
        <v>102</v>
      </c>
      <c r="E543" s="10" t="s">
        <v>103</v>
      </c>
    </row>
    <row r="544" spans="1:7" x14ac:dyDescent="0.2">
      <c r="E544" s="11">
        <f>C536</f>
        <v>30000</v>
      </c>
      <c r="F544" s="2">
        <v>42369</v>
      </c>
      <c r="G544" s="1" t="s">
        <v>223</v>
      </c>
    </row>
    <row r="545" spans="1:7" x14ac:dyDescent="0.2">
      <c r="E545" s="25">
        <f>E544</f>
        <v>30000</v>
      </c>
      <c r="F545" s="24">
        <v>42369</v>
      </c>
      <c r="G545" s="5" t="s">
        <v>212</v>
      </c>
    </row>
    <row r="546" spans="1:7" x14ac:dyDescent="0.2">
      <c r="A546" s="2">
        <v>42430</v>
      </c>
      <c r="B546" s="1" t="s">
        <v>224</v>
      </c>
      <c r="D546" s="11">
        <f>(E546+E545)*1/5</f>
        <v>10000</v>
      </c>
      <c r="E546" s="11">
        <f>C538</f>
        <v>20000</v>
      </c>
      <c r="F546" s="2">
        <v>42430</v>
      </c>
      <c r="G546" s="1" t="s">
        <v>223</v>
      </c>
    </row>
    <row r="547" spans="1:7" x14ac:dyDescent="0.2">
      <c r="A547" s="2"/>
      <c r="D547" s="11"/>
      <c r="E547" s="11">
        <f>C539</f>
        <v>80000</v>
      </c>
      <c r="F547" s="2">
        <v>42735</v>
      </c>
      <c r="G547" s="1" t="s">
        <v>223</v>
      </c>
    </row>
    <row r="548" spans="1:7" x14ac:dyDescent="0.2">
      <c r="A548" s="2"/>
      <c r="D548" s="11"/>
      <c r="E548" s="25">
        <f>E545+E546+E547-D546</f>
        <v>120000</v>
      </c>
      <c r="F548" s="24">
        <v>42735</v>
      </c>
      <c r="G548" s="5" t="s">
        <v>212</v>
      </c>
    </row>
    <row r="550" spans="1:7" x14ac:dyDescent="0.2">
      <c r="A550" s="3" t="s">
        <v>190</v>
      </c>
    </row>
    <row r="551" spans="1:7" x14ac:dyDescent="0.2">
      <c r="D551" s="10" t="s">
        <v>102</v>
      </c>
      <c r="E551" s="10" t="s">
        <v>103</v>
      </c>
    </row>
    <row r="552" spans="1:7" x14ac:dyDescent="0.2">
      <c r="A552" s="2">
        <v>42430</v>
      </c>
      <c r="B552" s="1" t="s">
        <v>225</v>
      </c>
      <c r="D552" s="11">
        <f>D531</f>
        <v>1040000</v>
      </c>
    </row>
    <row r="553" spans="1:7" x14ac:dyDescent="0.2">
      <c r="A553" s="2">
        <v>42735</v>
      </c>
      <c r="B553" s="1" t="s">
        <v>226</v>
      </c>
      <c r="D553" s="11">
        <v>30000</v>
      </c>
    </row>
    <row r="554" spans="1:7" x14ac:dyDescent="0.2">
      <c r="A554" s="24">
        <v>42735</v>
      </c>
      <c r="B554" s="5" t="s">
        <v>212</v>
      </c>
      <c r="C554" s="5"/>
      <c r="D554" s="25">
        <f>D552+D553</f>
        <v>1070000</v>
      </c>
    </row>
    <row r="556" spans="1:7" x14ac:dyDescent="0.2">
      <c r="A556" s="3" t="s">
        <v>187</v>
      </c>
    </row>
    <row r="557" spans="1:7" x14ac:dyDescent="0.2">
      <c r="C557" s="10" t="s">
        <v>102</v>
      </c>
      <c r="D557" s="10" t="s">
        <v>103</v>
      </c>
    </row>
    <row r="558" spans="1:7" x14ac:dyDescent="0.2">
      <c r="D558" s="11">
        <f>C530</f>
        <v>210000</v>
      </c>
      <c r="E558" s="2">
        <v>42430</v>
      </c>
      <c r="F558" s="1" t="s">
        <v>214</v>
      </c>
    </row>
    <row r="559" spans="1:7" x14ac:dyDescent="0.2">
      <c r="D559" s="25">
        <f>D558</f>
        <v>210000</v>
      </c>
      <c r="E559" s="24">
        <v>42735</v>
      </c>
      <c r="F559" s="5" t="s">
        <v>212</v>
      </c>
    </row>
    <row r="561" spans="1:8" x14ac:dyDescent="0.2">
      <c r="A561" s="3" t="s">
        <v>227</v>
      </c>
    </row>
    <row r="562" spans="1:8" x14ac:dyDescent="0.2">
      <c r="C562" s="10" t="s">
        <v>102</v>
      </c>
      <c r="D562" s="10" t="s">
        <v>103</v>
      </c>
    </row>
    <row r="563" spans="1:8" x14ac:dyDescent="0.2">
      <c r="D563" s="11">
        <f>D553</f>
        <v>30000</v>
      </c>
      <c r="E563" s="2">
        <v>42735</v>
      </c>
      <c r="F563" s="1" t="s">
        <v>228</v>
      </c>
    </row>
    <row r="564" spans="1:8" x14ac:dyDescent="0.2">
      <c r="D564" s="25">
        <f>D563</f>
        <v>30000</v>
      </c>
      <c r="E564" s="24">
        <v>42735</v>
      </c>
      <c r="F564" s="5" t="s">
        <v>229</v>
      </c>
      <c r="G564" s="5"/>
    </row>
    <row r="566" spans="1:8" x14ac:dyDescent="0.2">
      <c r="A566" s="217" t="s">
        <v>2632</v>
      </c>
      <c r="B566" s="217"/>
      <c r="C566" s="217"/>
      <c r="D566" s="217"/>
      <c r="E566" s="217"/>
      <c r="F566" s="217"/>
      <c r="G566" s="217"/>
      <c r="H566" s="217"/>
    </row>
    <row r="567" spans="1:8" x14ac:dyDescent="0.2">
      <c r="A567" s="217" t="s">
        <v>2633</v>
      </c>
      <c r="B567" s="217"/>
      <c r="C567" s="217"/>
      <c r="D567" s="217"/>
      <c r="E567" s="217"/>
      <c r="F567" s="217"/>
      <c r="G567" s="217"/>
      <c r="H567" s="217"/>
    </row>
    <row r="569" spans="1:8" x14ac:dyDescent="0.2">
      <c r="A569" s="3" t="s">
        <v>2033</v>
      </c>
      <c r="B569" s="1" t="s">
        <v>2638</v>
      </c>
    </row>
    <row r="570" spans="1:8" x14ac:dyDescent="0.2">
      <c r="A570" s="1" t="s">
        <v>2634</v>
      </c>
    </row>
    <row r="571" spans="1:8" x14ac:dyDescent="0.2">
      <c r="A571" s="1" t="s">
        <v>2635</v>
      </c>
    </row>
    <row r="572" spans="1:8" x14ac:dyDescent="0.2">
      <c r="A572" s="1" t="s">
        <v>2636</v>
      </c>
    </row>
    <row r="573" spans="1:8" x14ac:dyDescent="0.2">
      <c r="A573" s="1" t="s">
        <v>2639</v>
      </c>
    </row>
    <row r="574" spans="1:8" x14ac:dyDescent="0.2">
      <c r="A574" s="1" t="s">
        <v>2637</v>
      </c>
    </row>
    <row r="576" spans="1:8" x14ac:dyDescent="0.2">
      <c r="A576" s="1" t="s">
        <v>2640</v>
      </c>
      <c r="D576"/>
    </row>
    <row r="578" spans="1:2" x14ac:dyDescent="0.2">
      <c r="A578" s="3" t="s">
        <v>2093</v>
      </c>
      <c r="B578" s="1" t="s">
        <v>2645</v>
      </c>
    </row>
    <row r="579" spans="1:2" x14ac:dyDescent="0.2">
      <c r="A579" s="1" t="s">
        <v>2646</v>
      </c>
    </row>
    <row r="580" spans="1:2" x14ac:dyDescent="0.2">
      <c r="A580" s="1" t="s">
        <v>2641</v>
      </c>
    </row>
    <row r="581" spans="1:2" x14ac:dyDescent="0.2">
      <c r="A581" s="1" t="s">
        <v>2642</v>
      </c>
    </row>
    <row r="582" spans="1:2" x14ac:dyDescent="0.2">
      <c r="A582" s="1" t="s">
        <v>2643</v>
      </c>
    </row>
    <row r="583" spans="1:2" x14ac:dyDescent="0.2">
      <c r="A583" s="1" t="s">
        <v>2644</v>
      </c>
    </row>
    <row r="585" spans="1:2" x14ac:dyDescent="0.2">
      <c r="A585" s="1" t="s">
        <v>2647</v>
      </c>
    </row>
    <row r="586" spans="1:2" x14ac:dyDescent="0.2">
      <c r="A586" s="1" t="s">
        <v>2648</v>
      </c>
    </row>
    <row r="588" spans="1:2" x14ac:dyDescent="0.2">
      <c r="A588" s="1" t="s">
        <v>2649</v>
      </c>
    </row>
    <row r="589" spans="1:2" x14ac:dyDescent="0.2">
      <c r="A589" s="1" t="s">
        <v>2650</v>
      </c>
    </row>
    <row r="591" spans="1:2" x14ac:dyDescent="0.2">
      <c r="A591" s="1" t="s">
        <v>2651</v>
      </c>
    </row>
    <row r="592" spans="1:2" x14ac:dyDescent="0.2">
      <c r="A592" s="1" t="s">
        <v>2652</v>
      </c>
    </row>
    <row r="594" spans="1:6" x14ac:dyDescent="0.2">
      <c r="A594" s="1" t="s">
        <v>2653</v>
      </c>
      <c r="B594" s="11">
        <v>500000</v>
      </c>
    </row>
    <row r="595" spans="1:6" x14ac:dyDescent="0.2">
      <c r="A595" s="1" t="s">
        <v>1452</v>
      </c>
      <c r="B595" s="11">
        <f>B594</f>
        <v>500000</v>
      </c>
    </row>
    <row r="596" spans="1:6" x14ac:dyDescent="0.2">
      <c r="F596"/>
    </row>
    <row r="597" spans="1:6" x14ac:dyDescent="0.2">
      <c r="A597" s="3" t="s">
        <v>2108</v>
      </c>
      <c r="B597" s="3" t="s">
        <v>2660</v>
      </c>
    </row>
    <row r="598" spans="1:6" x14ac:dyDescent="0.2">
      <c r="A598" s="1" t="s">
        <v>2654</v>
      </c>
    </row>
    <row r="599" spans="1:6" x14ac:dyDescent="0.2">
      <c r="A599" s="1" t="s">
        <v>2655</v>
      </c>
    </row>
    <row r="600" spans="1:6" x14ac:dyDescent="0.2">
      <c r="A600" s="1" t="s">
        <v>2656</v>
      </c>
    </row>
    <row r="601" spans="1:6" x14ac:dyDescent="0.2">
      <c r="A601" s="1" t="s">
        <v>2657</v>
      </c>
    </row>
    <row r="602" spans="1:6" x14ac:dyDescent="0.2">
      <c r="A602" s="1" t="s">
        <v>2658</v>
      </c>
    </row>
    <row r="603" spans="1:6" x14ac:dyDescent="0.2">
      <c r="A603" s="1" t="s">
        <v>2659</v>
      </c>
    </row>
    <row r="605" spans="1:6" x14ac:dyDescent="0.2">
      <c r="A605" s="1" t="s">
        <v>2661</v>
      </c>
    </row>
    <row r="606" spans="1:6" x14ac:dyDescent="0.2">
      <c r="A606" s="1" t="s">
        <v>2662</v>
      </c>
    </row>
    <row r="607" spans="1:6" x14ac:dyDescent="0.2">
      <c r="A607" s="1" t="s">
        <v>2663</v>
      </c>
    </row>
    <row r="608" spans="1:6" x14ac:dyDescent="0.2">
      <c r="A608" s="1" t="s">
        <v>2664</v>
      </c>
    </row>
    <row r="609" spans="1:6" x14ac:dyDescent="0.2">
      <c r="A609" s="1" t="s">
        <v>2665</v>
      </c>
    </row>
    <row r="610" spans="1:6" x14ac:dyDescent="0.2">
      <c r="A610" s="1" t="s">
        <v>2666</v>
      </c>
    </row>
    <row r="611" spans="1:6" x14ac:dyDescent="0.2">
      <c r="A611" s="1" t="s">
        <v>2667</v>
      </c>
    </row>
    <row r="612" spans="1:6" x14ac:dyDescent="0.2">
      <c r="A612" s="1" t="s">
        <v>2668</v>
      </c>
    </row>
    <row r="614" spans="1:6" x14ac:dyDescent="0.2">
      <c r="A614" s="3" t="s">
        <v>2120</v>
      </c>
      <c r="B614" s="1" t="s">
        <v>2660</v>
      </c>
      <c r="F614"/>
    </row>
    <row r="615" spans="1:6" x14ac:dyDescent="0.2">
      <c r="A615" s="1" t="s">
        <v>2669</v>
      </c>
    </row>
    <row r="616" spans="1:6" x14ac:dyDescent="0.2">
      <c r="A616" s="1" t="s">
        <v>2670</v>
      </c>
    </row>
    <row r="617" spans="1:6" x14ac:dyDescent="0.2">
      <c r="A617" s="1" t="s">
        <v>2671</v>
      </c>
    </row>
    <row r="618" spans="1:6" x14ac:dyDescent="0.2">
      <c r="A618" s="1" t="s">
        <v>2672</v>
      </c>
    </row>
    <row r="619" spans="1:6" x14ac:dyDescent="0.2">
      <c r="A619" s="1" t="s">
        <v>2673</v>
      </c>
    </row>
    <row r="620" spans="1:6" x14ac:dyDescent="0.2">
      <c r="A620" s="1" t="s">
        <v>2674</v>
      </c>
    </row>
    <row r="622" spans="1:6" x14ac:dyDescent="0.2">
      <c r="A622" s="1" t="s">
        <v>2661</v>
      </c>
    </row>
    <row r="623" spans="1:6" x14ac:dyDescent="0.2">
      <c r="A623" s="1" t="s">
        <v>2675</v>
      </c>
    </row>
    <row r="624" spans="1:6" x14ac:dyDescent="0.2">
      <c r="A624" s="1" t="s">
        <v>2676</v>
      </c>
    </row>
    <row r="625" spans="1:2" x14ac:dyDescent="0.2">
      <c r="A625" s="1" t="s">
        <v>2677</v>
      </c>
    </row>
    <row r="626" spans="1:2" x14ac:dyDescent="0.2">
      <c r="A626" s="1" t="s">
        <v>2678</v>
      </c>
    </row>
    <row r="628" spans="1:2" x14ac:dyDescent="0.2">
      <c r="A628" s="3" t="s">
        <v>2133</v>
      </c>
      <c r="B628" s="3" t="s">
        <v>2679</v>
      </c>
    </row>
    <row r="629" spans="1:2" x14ac:dyDescent="0.2">
      <c r="A629" s="1" t="s">
        <v>2680</v>
      </c>
    </row>
    <row r="630" spans="1:2" x14ac:dyDescent="0.2">
      <c r="A630" s="1" t="s">
        <v>2681</v>
      </c>
    </row>
    <row r="631" spans="1:2" x14ac:dyDescent="0.2">
      <c r="A631" s="1" t="s">
        <v>2682</v>
      </c>
    </row>
    <row r="632" spans="1:2" x14ac:dyDescent="0.2">
      <c r="A632" s="1" t="s">
        <v>2683</v>
      </c>
    </row>
    <row r="633" spans="1:2" x14ac:dyDescent="0.2">
      <c r="A633" s="1" t="s">
        <v>2684</v>
      </c>
    </row>
    <row r="634" spans="1:2" x14ac:dyDescent="0.2">
      <c r="A634" s="1" t="s">
        <v>2685</v>
      </c>
    </row>
    <row r="640" spans="1:2" ht="17" thickBot="1" x14ac:dyDescent="0.25"/>
    <row r="641" spans="1:9" x14ac:dyDescent="0.2">
      <c r="A641" s="1" t="s">
        <v>2690</v>
      </c>
      <c r="E641" s="46" t="s">
        <v>2686</v>
      </c>
      <c r="F641" s="32"/>
      <c r="G641" s="32"/>
      <c r="H641" s="32"/>
      <c r="I641" s="33"/>
    </row>
    <row r="642" spans="1:9" x14ac:dyDescent="0.2">
      <c r="E642" s="34" t="s">
        <v>2687</v>
      </c>
      <c r="I642" s="35"/>
    </row>
    <row r="643" spans="1:9" x14ac:dyDescent="0.2">
      <c r="E643" s="34" t="s">
        <v>2688</v>
      </c>
      <c r="I643" s="35"/>
    </row>
    <row r="644" spans="1:9" ht="17" thickBot="1" x14ac:dyDescent="0.25">
      <c r="E644" s="36" t="s">
        <v>2689</v>
      </c>
      <c r="F644" s="37"/>
      <c r="G644" s="37"/>
      <c r="H644" s="37"/>
      <c r="I644" s="38"/>
    </row>
    <row r="645" spans="1:9" x14ac:dyDescent="0.2">
      <c r="B645"/>
    </row>
    <row r="646" spans="1:9" x14ac:dyDescent="0.2">
      <c r="A646" s="3" t="s">
        <v>2691</v>
      </c>
      <c r="B646" s="3"/>
    </row>
    <row r="647" spans="1:9" x14ac:dyDescent="0.2">
      <c r="A647" s="1" t="s">
        <v>2692</v>
      </c>
    </row>
    <row r="648" spans="1:9" x14ac:dyDescent="0.2">
      <c r="A648" s="1" t="s">
        <v>2693</v>
      </c>
    </row>
    <row r="649" spans="1:9" x14ac:dyDescent="0.2">
      <c r="A649" s="1" t="s">
        <v>2694</v>
      </c>
    </row>
    <row r="650" spans="1:9" x14ac:dyDescent="0.2">
      <c r="A650" s="1" t="s">
        <v>2695</v>
      </c>
    </row>
    <row r="651" spans="1:9" x14ac:dyDescent="0.2">
      <c r="A651" s="1" t="s">
        <v>2696</v>
      </c>
    </row>
    <row r="653" spans="1:9" x14ac:dyDescent="0.2">
      <c r="A653" s="1" t="s">
        <v>2661</v>
      </c>
    </row>
    <row r="654" spans="1:9" x14ac:dyDescent="0.2">
      <c r="A654" s="1" t="s">
        <v>2697</v>
      </c>
    </row>
    <row r="656" spans="1:9" x14ac:dyDescent="0.2">
      <c r="A656" s="1" t="s">
        <v>2698</v>
      </c>
    </row>
    <row r="657" spans="1:7" x14ac:dyDescent="0.2">
      <c r="A657" s="1" t="s">
        <v>2699</v>
      </c>
    </row>
    <row r="658" spans="1:7" x14ac:dyDescent="0.2">
      <c r="A658" s="1" t="s">
        <v>2700</v>
      </c>
    </row>
    <row r="659" spans="1:7" x14ac:dyDescent="0.2">
      <c r="A659" s="1" t="s">
        <v>2701</v>
      </c>
    </row>
    <row r="660" spans="1:7" x14ac:dyDescent="0.2">
      <c r="A660" s="3" t="s">
        <v>2702</v>
      </c>
    </row>
    <row r="662" spans="1:7" x14ac:dyDescent="0.2">
      <c r="A662" s="3" t="s">
        <v>2703</v>
      </c>
    </row>
    <row r="663" spans="1:7" x14ac:dyDescent="0.2">
      <c r="A663" s="1" t="s">
        <v>2704</v>
      </c>
    </row>
    <row r="664" spans="1:7" x14ac:dyDescent="0.2">
      <c r="A664" s="1" t="s">
        <v>2705</v>
      </c>
    </row>
    <row r="665" spans="1:7" x14ac:dyDescent="0.2">
      <c r="A665" s="1" t="s">
        <v>2706</v>
      </c>
      <c r="G665"/>
    </row>
    <row r="666" spans="1:7" x14ac:dyDescent="0.2">
      <c r="A666" s="1" t="s">
        <v>2707</v>
      </c>
    </row>
    <row r="667" spans="1:7" x14ac:dyDescent="0.2">
      <c r="A667" s="1" t="s">
        <v>2712</v>
      </c>
    </row>
    <row r="668" spans="1:7" x14ac:dyDescent="0.2">
      <c r="A668" s="1" t="s">
        <v>2659</v>
      </c>
    </row>
    <row r="670" spans="1:7" x14ac:dyDescent="0.2">
      <c r="A670" s="1" t="s">
        <v>2661</v>
      </c>
    </row>
    <row r="671" spans="1:7" x14ac:dyDescent="0.2">
      <c r="A671" s="1" t="s">
        <v>2708</v>
      </c>
    </row>
    <row r="672" spans="1:7" x14ac:dyDescent="0.2">
      <c r="A672" s="1" t="s">
        <v>2709</v>
      </c>
    </row>
    <row r="673" spans="1:7" x14ac:dyDescent="0.2">
      <c r="A673" s="1" t="s">
        <v>2710</v>
      </c>
    </row>
    <row r="674" spans="1:7" x14ac:dyDescent="0.2">
      <c r="A674" s="1" t="s">
        <v>2711</v>
      </c>
    </row>
    <row r="675" spans="1:7" x14ac:dyDescent="0.2">
      <c r="A675" s="1" t="s">
        <v>2713</v>
      </c>
    </row>
    <row r="676" spans="1:7" x14ac:dyDescent="0.2">
      <c r="A676" s="1" t="s">
        <v>2714</v>
      </c>
    </row>
    <row r="678" spans="1:7" x14ac:dyDescent="0.2">
      <c r="A678" s="3" t="s">
        <v>2715</v>
      </c>
    </row>
    <row r="679" spans="1:7" x14ac:dyDescent="0.2">
      <c r="A679" s="1" t="s">
        <v>2716</v>
      </c>
    </row>
    <row r="680" spans="1:7" x14ac:dyDescent="0.2">
      <c r="A680" s="1" t="s">
        <v>2717</v>
      </c>
    </row>
    <row r="681" spans="1:7" x14ac:dyDescent="0.2">
      <c r="A681" s="1" t="s">
        <v>2718</v>
      </c>
    </row>
    <row r="682" spans="1:7" x14ac:dyDescent="0.2">
      <c r="A682" s="1" t="s">
        <v>2719</v>
      </c>
    </row>
    <row r="683" spans="1:7" x14ac:dyDescent="0.2">
      <c r="A683" s="1" t="s">
        <v>2720</v>
      </c>
    </row>
    <row r="684" spans="1:7" x14ac:dyDescent="0.2">
      <c r="A684" s="1" t="s">
        <v>2721</v>
      </c>
    </row>
    <row r="685" spans="1:7" x14ac:dyDescent="0.2">
      <c r="A685" s="1" t="s">
        <v>2722</v>
      </c>
    </row>
    <row r="686" spans="1:7" x14ac:dyDescent="0.2">
      <c r="G686"/>
    </row>
    <row r="687" spans="1:7" x14ac:dyDescent="0.2">
      <c r="A687" s="1" t="s">
        <v>2661</v>
      </c>
    </row>
    <row r="688" spans="1:7" x14ac:dyDescent="0.2">
      <c r="D688" s="1" t="s">
        <v>2723</v>
      </c>
    </row>
    <row r="691" spans="2:7" x14ac:dyDescent="0.2">
      <c r="D691" s="1" t="s">
        <v>2724</v>
      </c>
    </row>
    <row r="693" spans="2:7" x14ac:dyDescent="0.2">
      <c r="C693" s="1" t="s">
        <v>2079</v>
      </c>
      <c r="E693" s="1" t="s">
        <v>2346</v>
      </c>
    </row>
    <row r="694" spans="2:7" x14ac:dyDescent="0.2">
      <c r="C694" s="1" t="s">
        <v>2725</v>
      </c>
    </row>
    <row r="697" spans="2:7" x14ac:dyDescent="0.2">
      <c r="B697" s="1" t="s">
        <v>2726</v>
      </c>
      <c r="F697" s="1" t="s">
        <v>2730</v>
      </c>
    </row>
    <row r="698" spans="2:7" x14ac:dyDescent="0.2">
      <c r="B698" s="1" t="s">
        <v>2727</v>
      </c>
      <c r="F698" s="1" t="s">
        <v>2731</v>
      </c>
    </row>
    <row r="699" spans="2:7" x14ac:dyDescent="0.2">
      <c r="B699" s="1" t="s">
        <v>2728</v>
      </c>
      <c r="F699" s="1" t="s">
        <v>2732</v>
      </c>
    </row>
    <row r="700" spans="2:7" x14ac:dyDescent="0.2">
      <c r="B700" s="1" t="s">
        <v>2729</v>
      </c>
      <c r="F700" s="1" t="s">
        <v>2733</v>
      </c>
    </row>
    <row r="701" spans="2:7" x14ac:dyDescent="0.2">
      <c r="F701" s="1" t="s">
        <v>2734</v>
      </c>
    </row>
    <row r="702" spans="2:7" x14ac:dyDescent="0.2">
      <c r="G702" s="1" t="s">
        <v>2735</v>
      </c>
    </row>
    <row r="703" spans="2:7" x14ac:dyDescent="0.2">
      <c r="G703" s="1" t="s">
        <v>2736</v>
      </c>
    </row>
    <row r="704" spans="2:7" x14ac:dyDescent="0.2">
      <c r="G704" s="1" t="s">
        <v>2737</v>
      </c>
    </row>
    <row r="706" spans="1:9" x14ac:dyDescent="0.2">
      <c r="A706" s="3" t="s">
        <v>2738</v>
      </c>
    </row>
    <row r="707" spans="1:9" ht="17" thickBot="1" x14ac:dyDescent="0.25"/>
    <row r="708" spans="1:9" x14ac:dyDescent="0.2">
      <c r="A708" s="31" t="s">
        <v>2739</v>
      </c>
      <c r="B708" s="32"/>
      <c r="C708" s="32"/>
      <c r="D708" s="32"/>
      <c r="E708" s="32"/>
      <c r="F708" s="32"/>
      <c r="G708" s="32"/>
      <c r="H708" s="32"/>
      <c r="I708" s="33"/>
    </row>
    <row r="709" spans="1:9" x14ac:dyDescent="0.2">
      <c r="A709" s="34" t="s">
        <v>2740</v>
      </c>
      <c r="I709" s="35"/>
    </row>
    <row r="710" spans="1:9" x14ac:dyDescent="0.2">
      <c r="A710" s="34" t="s">
        <v>2741</v>
      </c>
      <c r="I710" s="35"/>
    </row>
    <row r="711" spans="1:9" x14ac:dyDescent="0.2">
      <c r="A711" s="34" t="s">
        <v>2742</v>
      </c>
      <c r="I711" s="35"/>
    </row>
    <row r="712" spans="1:9" x14ac:dyDescent="0.2">
      <c r="A712" s="34" t="s">
        <v>2743</v>
      </c>
      <c r="I712" s="35"/>
    </row>
    <row r="713" spans="1:9" x14ac:dyDescent="0.2">
      <c r="A713" s="34"/>
      <c r="I713" s="35"/>
    </row>
    <row r="714" spans="1:9" ht="17" thickBot="1" x14ac:dyDescent="0.25">
      <c r="A714" s="36" t="s">
        <v>2744</v>
      </c>
      <c r="B714" s="37"/>
      <c r="C714" s="37"/>
      <c r="D714" s="37"/>
      <c r="E714" s="37"/>
      <c r="F714" s="37"/>
      <c r="G714" s="37"/>
      <c r="H714" s="37"/>
      <c r="I714" s="38"/>
    </row>
  </sheetData>
  <mergeCells count="4">
    <mergeCell ref="C50:G50"/>
    <mergeCell ref="D507:E507"/>
    <mergeCell ref="D508:F508"/>
    <mergeCell ref="G230:H230"/>
  </mergeCells>
  <pageMargins left="0.7" right="0.7" top="0.75" bottom="0.75" header="0.3" footer="0.3"/>
  <pageSetup paperSize="9"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16C99-A98F-8647-963D-174CB38F582E}">
  <dimension ref="A1:L333"/>
  <sheetViews>
    <sheetView rightToLeft="1" tabSelected="1" topLeftCell="A64" zoomScale="209" zoomScaleNormal="260" workbookViewId="0">
      <selection activeCell="L81" sqref="L81:L87"/>
    </sheetView>
  </sheetViews>
  <sheetFormatPr baseColWidth="10" defaultRowHeight="16" x14ac:dyDescent="0.2"/>
  <cols>
    <col min="1" max="4" width="10.83203125" style="1"/>
    <col min="5" max="5" width="11.5" style="1" customWidth="1"/>
    <col min="6" max="7" width="10.83203125" style="1"/>
    <col min="8" max="8" width="11.33203125" style="1" customWidth="1"/>
    <col min="9" max="9" width="13.5" style="1" bestFit="1" customWidth="1"/>
    <col min="10" max="16384" width="10.83203125" style="1"/>
  </cols>
  <sheetData>
    <row r="1" spans="1:8" x14ac:dyDescent="0.2">
      <c r="A1" s="359" t="s">
        <v>2478</v>
      </c>
      <c r="B1" s="359"/>
      <c r="C1" s="359"/>
      <c r="D1" s="359"/>
      <c r="E1" s="359"/>
      <c r="F1" s="359"/>
      <c r="G1" s="359"/>
      <c r="H1" s="359"/>
    </row>
    <row r="4" spans="1:8" x14ac:dyDescent="0.2">
      <c r="A4" s="30" t="s">
        <v>2253</v>
      </c>
      <c r="B4" s="30"/>
      <c r="C4" s="30"/>
      <c r="D4" s="30"/>
      <c r="E4" s="30"/>
      <c r="F4" s="30"/>
      <c r="G4" s="30"/>
      <c r="H4" s="30"/>
    </row>
    <row r="6" spans="1:8" x14ac:dyDescent="0.2">
      <c r="A6" s="166" t="s">
        <v>2254</v>
      </c>
      <c r="B6" s="167"/>
      <c r="C6" s="167"/>
      <c r="D6" s="167"/>
      <c r="E6" s="167"/>
      <c r="F6" s="167"/>
      <c r="G6" s="167"/>
      <c r="H6" s="167"/>
    </row>
    <row r="7" spans="1:8" x14ac:dyDescent="0.2">
      <c r="A7" s="1" t="s">
        <v>2255</v>
      </c>
    </row>
    <row r="8" spans="1:8" x14ac:dyDescent="0.2">
      <c r="A8" s="1" t="s">
        <v>2256</v>
      </c>
    </row>
    <row r="9" spans="1:8" x14ac:dyDescent="0.2">
      <c r="A9" s="1" t="s">
        <v>2257</v>
      </c>
    </row>
    <row r="10" spans="1:8" ht="17" thickBot="1" x14ac:dyDescent="0.25"/>
    <row r="11" spans="1:8" x14ac:dyDescent="0.2">
      <c r="A11" s="46" t="s">
        <v>2258</v>
      </c>
      <c r="B11" s="33"/>
      <c r="D11" s="46" t="s">
        <v>2259</v>
      </c>
      <c r="E11" s="33"/>
      <c r="G11" s="46" t="s">
        <v>2260</v>
      </c>
      <c r="H11" s="33"/>
    </row>
    <row r="12" spans="1:8" x14ac:dyDescent="0.2">
      <c r="A12" s="34" t="s">
        <v>2261</v>
      </c>
      <c r="B12" s="35"/>
      <c r="D12" s="34" t="s">
        <v>2262</v>
      </c>
      <c r="E12" s="35"/>
      <c r="G12" s="34" t="s">
        <v>2263</v>
      </c>
      <c r="H12" s="35"/>
    </row>
    <row r="13" spans="1:8" ht="17" thickBot="1" x14ac:dyDescent="0.25">
      <c r="A13" s="36" t="s">
        <v>2264</v>
      </c>
      <c r="B13" s="38"/>
      <c r="D13" s="34" t="s">
        <v>2265</v>
      </c>
      <c r="E13" s="35"/>
      <c r="G13" s="34" t="s">
        <v>2266</v>
      </c>
      <c r="H13" s="35"/>
    </row>
    <row r="14" spans="1:8" ht="17" thickBot="1" x14ac:dyDescent="0.25">
      <c r="D14" s="36"/>
      <c r="E14" s="38" t="s">
        <v>2267</v>
      </c>
      <c r="G14" s="34" t="s">
        <v>2268</v>
      </c>
      <c r="H14" s="35"/>
    </row>
    <row r="15" spans="1:8" x14ac:dyDescent="0.2">
      <c r="G15" s="34" t="s">
        <v>2269</v>
      </c>
      <c r="H15" s="35"/>
    </row>
    <row r="16" spans="1:8" x14ac:dyDescent="0.2">
      <c r="G16" s="34" t="s">
        <v>2270</v>
      </c>
      <c r="H16" s="35"/>
    </row>
    <row r="17" spans="1:8" ht="17" thickBot="1" x14ac:dyDescent="0.25">
      <c r="G17" s="36"/>
      <c r="H17" s="38" t="s">
        <v>2271</v>
      </c>
    </row>
    <row r="20" spans="1:8" ht="17" thickBot="1" x14ac:dyDescent="0.25"/>
    <row r="21" spans="1:8" x14ac:dyDescent="0.2">
      <c r="A21" s="46" t="s">
        <v>2272</v>
      </c>
      <c r="B21" s="33"/>
      <c r="D21" s="46" t="s">
        <v>2273</v>
      </c>
      <c r="E21" s="33"/>
      <c r="G21" s="46" t="s">
        <v>2273</v>
      </c>
      <c r="H21" s="33"/>
    </row>
    <row r="22" spans="1:8" x14ac:dyDescent="0.2">
      <c r="A22" s="34" t="s">
        <v>2274</v>
      </c>
      <c r="B22" s="35"/>
      <c r="D22" s="34" t="s">
        <v>2275</v>
      </c>
      <c r="E22" s="35"/>
      <c r="G22" s="34" t="s">
        <v>2275</v>
      </c>
      <c r="H22" s="35"/>
    </row>
    <row r="23" spans="1:8" ht="17" thickBot="1" x14ac:dyDescent="0.25">
      <c r="A23" s="36" t="s">
        <v>2276</v>
      </c>
      <c r="B23" s="38"/>
      <c r="D23" s="34" t="s">
        <v>2277</v>
      </c>
      <c r="E23" s="35"/>
      <c r="G23" s="34" t="s">
        <v>2278</v>
      </c>
      <c r="H23" s="35"/>
    </row>
    <row r="24" spans="1:8" ht="17" thickBot="1" x14ac:dyDescent="0.25">
      <c r="D24" s="36" t="s">
        <v>2279</v>
      </c>
      <c r="E24" s="38"/>
      <c r="G24" s="36" t="s">
        <v>2280</v>
      </c>
      <c r="H24" s="38"/>
    </row>
    <row r="27" spans="1:8" x14ac:dyDescent="0.2">
      <c r="A27" s="1" t="s">
        <v>2281</v>
      </c>
    </row>
    <row r="28" spans="1:8" x14ac:dyDescent="0.2">
      <c r="A28" s="1" t="s">
        <v>2282</v>
      </c>
    </row>
    <row r="30" spans="1:8" x14ac:dyDescent="0.2">
      <c r="A30" s="166" t="s">
        <v>2283</v>
      </c>
      <c r="B30" s="167"/>
      <c r="C30" s="167"/>
      <c r="D30" s="167"/>
      <c r="E30" s="167"/>
      <c r="F30" s="167"/>
      <c r="G30" s="167"/>
      <c r="H30" s="167"/>
    </row>
    <row r="31" spans="1:8" x14ac:dyDescent="0.2">
      <c r="A31" s="1" t="s">
        <v>2284</v>
      </c>
    </row>
    <row r="32" spans="1:8" x14ac:dyDescent="0.2">
      <c r="A32" s="1" t="s">
        <v>2285</v>
      </c>
    </row>
    <row r="33" spans="1:8" ht="17" thickBot="1" x14ac:dyDescent="0.25"/>
    <row r="34" spans="1:8" x14ac:dyDescent="0.2">
      <c r="A34" s="46" t="s">
        <v>2286</v>
      </c>
      <c r="B34" s="33"/>
      <c r="D34" s="46" t="s">
        <v>2287</v>
      </c>
      <c r="E34" s="33"/>
      <c r="G34" s="46" t="s">
        <v>2288</v>
      </c>
      <c r="H34" s="33"/>
    </row>
    <row r="35" spans="1:8" ht="17" thickBot="1" x14ac:dyDescent="0.25">
      <c r="A35" s="36" t="s">
        <v>2289</v>
      </c>
      <c r="B35" s="38"/>
      <c r="D35" s="36" t="s">
        <v>2290</v>
      </c>
      <c r="E35" s="38"/>
      <c r="G35" s="36" t="s">
        <v>2291</v>
      </c>
      <c r="H35" s="38"/>
    </row>
    <row r="38" spans="1:8" ht="17" thickBot="1" x14ac:dyDescent="0.25">
      <c r="D38" s="62"/>
      <c r="E38" s="62"/>
    </row>
    <row r="39" spans="1:8" x14ac:dyDescent="0.2">
      <c r="A39" s="98" t="s">
        <v>2292</v>
      </c>
      <c r="B39" s="102"/>
      <c r="C39" s="59"/>
      <c r="D39" s="98" t="s">
        <v>2293</v>
      </c>
      <c r="E39" s="89"/>
      <c r="G39" s="31" t="s">
        <v>2293</v>
      </c>
      <c r="H39" s="33"/>
    </row>
    <row r="40" spans="1:8" ht="17" thickBot="1" x14ac:dyDescent="0.25">
      <c r="A40" s="100" t="s">
        <v>2294</v>
      </c>
      <c r="B40" s="105"/>
      <c r="C40" s="59"/>
      <c r="D40" s="100" t="s">
        <v>2295</v>
      </c>
      <c r="E40" s="94"/>
      <c r="G40" s="80" t="s">
        <v>2296</v>
      </c>
      <c r="H40" s="38"/>
    </row>
    <row r="41" spans="1:8" x14ac:dyDescent="0.2">
      <c r="A41" s="3"/>
      <c r="B41" s="3"/>
    </row>
    <row r="42" spans="1:8" x14ac:dyDescent="0.2">
      <c r="A42" s="3" t="s">
        <v>2297</v>
      </c>
      <c r="B42" s="3"/>
    </row>
    <row r="43" spans="1:8" x14ac:dyDescent="0.2">
      <c r="A43" s="3" t="s">
        <v>2298</v>
      </c>
      <c r="B43" s="3"/>
    </row>
    <row r="44" spans="1:8" x14ac:dyDescent="0.2">
      <c r="A44" s="3"/>
      <c r="B44" s="3"/>
    </row>
    <row r="45" spans="1:8" x14ac:dyDescent="0.2">
      <c r="A45" s="3" t="s">
        <v>2299</v>
      </c>
      <c r="B45" s="3"/>
    </row>
    <row r="46" spans="1:8" x14ac:dyDescent="0.2">
      <c r="A46" s="3" t="s">
        <v>2300</v>
      </c>
      <c r="B46" s="3"/>
    </row>
    <row r="47" spans="1:8" x14ac:dyDescent="0.2">
      <c r="A47" s="3"/>
      <c r="B47" s="3"/>
    </row>
    <row r="48" spans="1:8" x14ac:dyDescent="0.2">
      <c r="A48" s="1" t="s">
        <v>2301</v>
      </c>
      <c r="B48" s="3"/>
    </row>
    <row r="49" spans="1:2" x14ac:dyDescent="0.2">
      <c r="A49" s="1" t="s">
        <v>2302</v>
      </c>
      <c r="B49" s="3"/>
    </row>
    <row r="50" spans="1:2" x14ac:dyDescent="0.2">
      <c r="A50" s="1" t="s">
        <v>2303</v>
      </c>
      <c r="B50" s="3"/>
    </row>
    <row r="51" spans="1:2" x14ac:dyDescent="0.2">
      <c r="A51" s="1" t="s">
        <v>2304</v>
      </c>
      <c r="B51" s="3"/>
    </row>
    <row r="52" spans="1:2" x14ac:dyDescent="0.2">
      <c r="B52" s="3"/>
    </row>
    <row r="53" spans="1:2" x14ac:dyDescent="0.2">
      <c r="A53" s="1" t="s">
        <v>2305</v>
      </c>
      <c r="B53" s="3"/>
    </row>
    <row r="54" spans="1:2" x14ac:dyDescent="0.2">
      <c r="A54" s="1" t="s">
        <v>2306</v>
      </c>
      <c r="B54" s="3"/>
    </row>
    <row r="55" spans="1:2" x14ac:dyDescent="0.2">
      <c r="B55" s="3"/>
    </row>
    <row r="56" spans="1:2" x14ac:dyDescent="0.2">
      <c r="A56" s="1" t="s">
        <v>2307</v>
      </c>
      <c r="B56" s="3"/>
    </row>
    <row r="57" spans="1:2" x14ac:dyDescent="0.2">
      <c r="A57" s="1" t="s">
        <v>2308</v>
      </c>
      <c r="B57" s="3"/>
    </row>
    <row r="58" spans="1:2" x14ac:dyDescent="0.2">
      <c r="A58" s="1" t="s">
        <v>2500</v>
      </c>
      <c r="B58" s="3"/>
    </row>
    <row r="59" spans="1:2" x14ac:dyDescent="0.2">
      <c r="A59" s="1" t="s">
        <v>2309</v>
      </c>
    </row>
    <row r="61" spans="1:2" x14ac:dyDescent="0.2">
      <c r="A61" s="7" t="s">
        <v>308</v>
      </c>
      <c r="B61" s="1" t="s">
        <v>2310</v>
      </c>
    </row>
    <row r="62" spans="1:2" x14ac:dyDescent="0.2">
      <c r="B62" s="1" t="s">
        <v>2311</v>
      </c>
    </row>
    <row r="66" spans="1:8" x14ac:dyDescent="0.2">
      <c r="A66" s="166" t="s">
        <v>2312</v>
      </c>
      <c r="B66" s="167"/>
      <c r="C66" s="167"/>
      <c r="D66" s="167"/>
      <c r="E66" s="167"/>
      <c r="F66" s="167"/>
      <c r="G66" s="167"/>
      <c r="H66" s="167"/>
    </row>
    <row r="67" spans="1:8" x14ac:dyDescent="0.2">
      <c r="A67" s="1" t="s">
        <v>2313</v>
      </c>
    </row>
    <row r="68" spans="1:8" ht="17" thickBot="1" x14ac:dyDescent="0.25"/>
    <row r="69" spans="1:8" x14ac:dyDescent="0.2">
      <c r="A69" s="46" t="s">
        <v>3671</v>
      </c>
      <c r="B69" s="32"/>
      <c r="C69" s="32"/>
      <c r="D69" s="32"/>
      <c r="E69" s="32"/>
      <c r="F69" s="32"/>
      <c r="G69" s="32"/>
      <c r="H69" s="33"/>
    </row>
    <row r="70" spans="1:8" x14ac:dyDescent="0.2">
      <c r="A70" s="34" t="s">
        <v>3672</v>
      </c>
      <c r="H70" s="35"/>
    </row>
    <row r="71" spans="1:8" x14ac:dyDescent="0.2">
      <c r="A71" s="34"/>
      <c r="H71" s="35"/>
    </row>
    <row r="72" spans="1:8" x14ac:dyDescent="0.2">
      <c r="A72" s="34" t="s">
        <v>3673</v>
      </c>
      <c r="H72" s="35"/>
    </row>
    <row r="73" spans="1:8" x14ac:dyDescent="0.2">
      <c r="A73" s="34" t="s">
        <v>3674</v>
      </c>
      <c r="H73" s="35"/>
    </row>
    <row r="74" spans="1:8" x14ac:dyDescent="0.2">
      <c r="A74" s="34"/>
      <c r="H74" s="35"/>
    </row>
    <row r="75" spans="1:8" x14ac:dyDescent="0.2">
      <c r="A75" s="34" t="s">
        <v>3675</v>
      </c>
      <c r="H75" s="35"/>
    </row>
    <row r="76" spans="1:8" ht="17" thickBot="1" x14ac:dyDescent="0.25">
      <c r="A76" s="36" t="s">
        <v>3676</v>
      </c>
      <c r="B76" s="37"/>
      <c r="C76" s="37"/>
      <c r="D76" s="37"/>
      <c r="E76" s="37"/>
      <c r="F76" s="37"/>
      <c r="G76" s="37"/>
      <c r="H76" s="38"/>
    </row>
    <row r="78" spans="1:8" x14ac:dyDescent="0.2">
      <c r="A78" s="1" t="s">
        <v>2314</v>
      </c>
    </row>
    <row r="81" spans="1:8" ht="17" thickBot="1" x14ac:dyDescent="0.25"/>
    <row r="82" spans="1:8" x14ac:dyDescent="0.2">
      <c r="A82" s="46" t="s">
        <v>2315</v>
      </c>
      <c r="B82" s="33"/>
      <c r="D82" s="46" t="s">
        <v>2316</v>
      </c>
      <c r="E82" s="33"/>
      <c r="G82" s="46" t="s">
        <v>2317</v>
      </c>
      <c r="H82" s="33"/>
    </row>
    <row r="83" spans="1:8" x14ac:dyDescent="0.2">
      <c r="A83" s="34" t="s">
        <v>2318</v>
      </c>
      <c r="B83" s="35"/>
      <c r="D83" s="34" t="s">
        <v>2319</v>
      </c>
      <c r="E83" s="35"/>
      <c r="G83" s="34" t="s">
        <v>2319</v>
      </c>
      <c r="H83" s="35"/>
    </row>
    <row r="84" spans="1:8" ht="17" thickBot="1" x14ac:dyDescent="0.25">
      <c r="A84" s="34" t="s">
        <v>2320</v>
      </c>
      <c r="B84" s="35"/>
      <c r="D84" s="34" t="s">
        <v>2321</v>
      </c>
      <c r="E84" s="35"/>
      <c r="G84" s="36" t="s">
        <v>2322</v>
      </c>
      <c r="H84" s="38"/>
    </row>
    <row r="85" spans="1:8" ht="17" thickBot="1" x14ac:dyDescent="0.25">
      <c r="A85" s="34" t="s">
        <v>2323</v>
      </c>
      <c r="B85" s="35"/>
      <c r="D85" s="36" t="s">
        <v>2324</v>
      </c>
      <c r="E85" s="38"/>
    </row>
    <row r="86" spans="1:8" ht="17" thickBot="1" x14ac:dyDescent="0.25">
      <c r="A86" s="36" t="s">
        <v>2325</v>
      </c>
      <c r="B86" s="38"/>
    </row>
    <row r="95" spans="1:8" ht="17" thickBot="1" x14ac:dyDescent="0.25"/>
    <row r="96" spans="1:8" ht="17" thickBot="1" x14ac:dyDescent="0.25">
      <c r="A96" s="46" t="s">
        <v>2326</v>
      </c>
      <c r="B96" s="33"/>
      <c r="D96" s="46" t="s">
        <v>2327</v>
      </c>
      <c r="E96" s="33"/>
      <c r="G96" s="192" t="s">
        <v>2328</v>
      </c>
      <c r="H96" s="193"/>
    </row>
    <row r="97" spans="1:8" ht="17" thickBot="1" x14ac:dyDescent="0.25">
      <c r="A97" s="34" t="s">
        <v>2329</v>
      </c>
      <c r="B97" s="35"/>
      <c r="D97" s="34" t="s">
        <v>2330</v>
      </c>
      <c r="E97" s="35"/>
      <c r="G97" s="59"/>
      <c r="H97" s="59"/>
    </row>
    <row r="98" spans="1:8" ht="17" thickBot="1" x14ac:dyDescent="0.25">
      <c r="A98" s="36" t="s">
        <v>2331</v>
      </c>
      <c r="B98" s="38"/>
      <c r="D98" s="34" t="s">
        <v>2332</v>
      </c>
      <c r="E98" s="35"/>
      <c r="G98" s="87" t="s">
        <v>2333</v>
      </c>
      <c r="H98" s="89"/>
    </row>
    <row r="99" spans="1:8" ht="17" thickBot="1" x14ac:dyDescent="0.25">
      <c r="D99" s="34" t="s">
        <v>2334</v>
      </c>
      <c r="E99" s="35"/>
      <c r="G99" s="92" t="s">
        <v>2335</v>
      </c>
      <c r="H99" s="94"/>
    </row>
    <row r="100" spans="1:8" ht="17" thickBot="1" x14ac:dyDescent="0.25">
      <c r="A100" s="164" t="s">
        <v>2336</v>
      </c>
      <c r="B100" s="165"/>
      <c r="D100" s="34" t="s">
        <v>2337</v>
      </c>
      <c r="E100" s="35"/>
    </row>
    <row r="101" spans="1:8" x14ac:dyDescent="0.2">
      <c r="D101" s="34" t="s">
        <v>2338</v>
      </c>
      <c r="E101" s="35"/>
    </row>
    <row r="102" spans="1:8" x14ac:dyDescent="0.2">
      <c r="D102" s="34" t="s">
        <v>2339</v>
      </c>
      <c r="E102" s="35"/>
    </row>
    <row r="103" spans="1:8" x14ac:dyDescent="0.2">
      <c r="D103" s="34" t="s">
        <v>2340</v>
      </c>
      <c r="E103" s="35"/>
    </row>
    <row r="104" spans="1:8" x14ac:dyDescent="0.2">
      <c r="D104" s="34" t="s">
        <v>2341</v>
      </c>
      <c r="E104" s="35"/>
    </row>
    <row r="105" spans="1:8" ht="17" thickBot="1" x14ac:dyDescent="0.25">
      <c r="D105" s="36" t="s">
        <v>2276</v>
      </c>
      <c r="E105" s="38"/>
    </row>
    <row r="106" spans="1:8" ht="17" thickBot="1" x14ac:dyDescent="0.25"/>
    <row r="107" spans="1:8" x14ac:dyDescent="0.2">
      <c r="D107" s="46" t="s">
        <v>2333</v>
      </c>
      <c r="E107" s="33"/>
    </row>
    <row r="108" spans="1:8" x14ac:dyDescent="0.2">
      <c r="D108" s="34" t="s">
        <v>2342</v>
      </c>
      <c r="E108" s="35"/>
    </row>
    <row r="109" spans="1:8" ht="17" thickBot="1" x14ac:dyDescent="0.25">
      <c r="D109" s="36" t="s">
        <v>2343</v>
      </c>
      <c r="E109" s="38"/>
    </row>
    <row r="126" spans="1:8" s="62" customFormat="1" x14ac:dyDescent="0.2">
      <c r="A126" s="168" t="s">
        <v>2344</v>
      </c>
      <c r="B126" s="169"/>
      <c r="C126" s="169"/>
      <c r="D126" s="169"/>
      <c r="E126" s="169"/>
      <c r="F126" s="169"/>
      <c r="G126" s="169"/>
      <c r="H126" s="169"/>
    </row>
    <row r="127" spans="1:8" s="62" customFormat="1" x14ac:dyDescent="0.2">
      <c r="A127" s="62" t="s">
        <v>2345</v>
      </c>
    </row>
    <row r="128" spans="1:8" s="62" customFormat="1" x14ac:dyDescent="0.2"/>
    <row r="129" spans="2:12" s="62" customFormat="1" x14ac:dyDescent="0.2"/>
    <row r="130" spans="2:12" s="62" customFormat="1" x14ac:dyDescent="0.2"/>
    <row r="131" spans="2:12" s="62" customFormat="1" ht="17" thickBot="1" x14ac:dyDescent="0.25"/>
    <row r="132" spans="2:12" s="62" customFormat="1" x14ac:dyDescent="0.2">
      <c r="J132" s="87" t="s">
        <v>3689</v>
      </c>
      <c r="K132" s="88"/>
      <c r="L132" s="89"/>
    </row>
    <row r="133" spans="2:12" s="62" customFormat="1" x14ac:dyDescent="0.2">
      <c r="C133" s="62" t="s">
        <v>2346</v>
      </c>
      <c r="F133" s="62" t="s">
        <v>2079</v>
      </c>
      <c r="J133" s="90" t="s">
        <v>3677</v>
      </c>
      <c r="L133" s="91"/>
    </row>
    <row r="134" spans="2:12" s="62" customFormat="1" x14ac:dyDescent="0.2">
      <c r="J134" s="90" t="s">
        <v>3678</v>
      </c>
      <c r="L134" s="91"/>
    </row>
    <row r="135" spans="2:12" s="62" customFormat="1" x14ac:dyDescent="0.2">
      <c r="J135" s="90" t="s">
        <v>3679</v>
      </c>
      <c r="L135" s="91"/>
    </row>
    <row r="136" spans="2:12" s="62" customFormat="1" x14ac:dyDescent="0.2">
      <c r="J136" s="90" t="s">
        <v>3680</v>
      </c>
      <c r="L136" s="91"/>
    </row>
    <row r="137" spans="2:12" s="62" customFormat="1" x14ac:dyDescent="0.2">
      <c r="J137" s="90" t="s">
        <v>3681</v>
      </c>
      <c r="L137" s="91"/>
    </row>
    <row r="138" spans="2:12" s="62" customFormat="1" x14ac:dyDescent="0.2">
      <c r="J138" s="90" t="s">
        <v>3682</v>
      </c>
      <c r="L138" s="91"/>
    </row>
    <row r="139" spans="2:12" s="62" customFormat="1" x14ac:dyDescent="0.2">
      <c r="B139" s="62" t="s">
        <v>2346</v>
      </c>
      <c r="C139" s="170" t="s">
        <v>2079</v>
      </c>
      <c r="E139" s="62" t="s">
        <v>2346</v>
      </c>
      <c r="J139" s="90" t="s">
        <v>3683</v>
      </c>
      <c r="L139" s="91"/>
    </row>
    <row r="140" spans="2:12" s="62" customFormat="1" x14ac:dyDescent="0.2">
      <c r="H140" s="62" t="s">
        <v>2079</v>
      </c>
      <c r="J140" s="90" t="s">
        <v>3684</v>
      </c>
      <c r="L140" s="91"/>
    </row>
    <row r="141" spans="2:12" s="62" customFormat="1" x14ac:dyDescent="0.2">
      <c r="J141" s="90" t="s">
        <v>3685</v>
      </c>
      <c r="L141" s="91"/>
    </row>
    <row r="142" spans="2:12" s="62" customFormat="1" x14ac:dyDescent="0.2">
      <c r="J142" s="90" t="s">
        <v>3686</v>
      </c>
      <c r="L142" s="91"/>
    </row>
    <row r="143" spans="2:12" s="62" customFormat="1" x14ac:dyDescent="0.2">
      <c r="J143" s="90" t="s">
        <v>3687</v>
      </c>
      <c r="L143" s="91"/>
    </row>
    <row r="144" spans="2:12" s="62" customFormat="1" ht="17" thickBot="1" x14ac:dyDescent="0.25">
      <c r="J144" s="92" t="s">
        <v>3688</v>
      </c>
      <c r="K144" s="93"/>
      <c r="L144" s="94"/>
    </row>
    <row r="145" spans="1:8" s="62" customFormat="1" x14ac:dyDescent="0.2">
      <c r="B145" s="62" t="s">
        <v>2346</v>
      </c>
      <c r="D145" s="171" t="s">
        <v>2079</v>
      </c>
      <c r="E145" s="122" t="s">
        <v>2079</v>
      </c>
      <c r="F145" s="170" t="s">
        <v>2346</v>
      </c>
    </row>
    <row r="146" spans="1:8" s="62" customFormat="1" x14ac:dyDescent="0.2"/>
    <row r="147" spans="1:8" s="62" customFormat="1" x14ac:dyDescent="0.2"/>
    <row r="148" spans="1:8" s="62" customFormat="1" x14ac:dyDescent="0.2"/>
    <row r="149" spans="1:8" s="62" customFormat="1" x14ac:dyDescent="0.2"/>
    <row r="150" spans="1:8" s="62" customFormat="1" x14ac:dyDescent="0.2"/>
    <row r="151" spans="1:8" s="62" customFormat="1" x14ac:dyDescent="0.2"/>
    <row r="152" spans="1:8" s="62" customFormat="1" x14ac:dyDescent="0.2">
      <c r="H152" s="62" t="s">
        <v>2347</v>
      </c>
    </row>
    <row r="153" spans="1:8" s="62" customFormat="1" x14ac:dyDescent="0.2">
      <c r="H153" s="62" t="s">
        <v>2348</v>
      </c>
    </row>
    <row r="154" spans="1:8" s="62" customFormat="1" x14ac:dyDescent="0.2">
      <c r="H154" s="62" t="s">
        <v>2349</v>
      </c>
    </row>
    <row r="155" spans="1:8" s="62" customFormat="1" x14ac:dyDescent="0.2"/>
    <row r="156" spans="1:8" s="62" customFormat="1" x14ac:dyDescent="0.2">
      <c r="A156" s="168" t="s">
        <v>2350</v>
      </c>
      <c r="B156" s="169"/>
      <c r="C156" s="169"/>
      <c r="D156" s="169"/>
      <c r="E156" s="169"/>
      <c r="F156" s="169"/>
      <c r="G156" s="169"/>
      <c r="H156" s="169"/>
    </row>
    <row r="157" spans="1:8" s="62" customFormat="1" x14ac:dyDescent="0.2">
      <c r="A157" s="19" t="s">
        <v>2351</v>
      </c>
      <c r="B157" s="19"/>
      <c r="C157" s="19"/>
      <c r="D157" s="19"/>
      <c r="E157" s="19"/>
      <c r="F157" s="19"/>
      <c r="G157" s="19"/>
      <c r="H157" s="19"/>
    </row>
    <row r="158" spans="1:8" s="62" customFormat="1" x14ac:dyDescent="0.2"/>
    <row r="159" spans="1:8" s="62" customFormat="1" x14ac:dyDescent="0.2">
      <c r="A159" s="172" t="s">
        <v>2352</v>
      </c>
      <c r="B159" s="172"/>
      <c r="C159" s="172"/>
      <c r="D159" s="172"/>
      <c r="E159" s="172"/>
      <c r="F159" s="172"/>
      <c r="G159" s="172"/>
      <c r="H159" s="172"/>
    </row>
    <row r="160" spans="1:8" s="62" customFormat="1" x14ac:dyDescent="0.2">
      <c r="A160" s="62" t="s">
        <v>2353</v>
      </c>
    </row>
    <row r="161" spans="1:8" s="62" customFormat="1" x14ac:dyDescent="0.2">
      <c r="A161" s="62" t="s">
        <v>2354</v>
      </c>
    </row>
    <row r="162" spans="1:8" s="62" customFormat="1" x14ac:dyDescent="0.2">
      <c r="A162" s="62" t="s">
        <v>2355</v>
      </c>
    </row>
    <row r="163" spans="1:8" s="62" customFormat="1" ht="17" thickBot="1" x14ac:dyDescent="0.25"/>
    <row r="164" spans="1:8" s="62" customFormat="1" x14ac:dyDescent="0.2">
      <c r="A164" s="87" t="s">
        <v>2356</v>
      </c>
      <c r="B164" s="88"/>
      <c r="C164" s="88"/>
      <c r="D164" s="88"/>
      <c r="E164" s="88"/>
      <c r="F164" s="88"/>
      <c r="G164" s="88"/>
      <c r="H164" s="89"/>
    </row>
    <row r="165" spans="1:8" s="62" customFormat="1" ht="17" thickBot="1" x14ac:dyDescent="0.25">
      <c r="A165" s="92" t="s">
        <v>2357</v>
      </c>
      <c r="B165" s="93"/>
      <c r="C165" s="93"/>
      <c r="D165" s="93"/>
      <c r="E165" s="93"/>
      <c r="F165" s="93"/>
      <c r="G165" s="93"/>
      <c r="H165" s="94"/>
    </row>
    <row r="166" spans="1:8" s="62" customFormat="1" x14ac:dyDescent="0.2"/>
    <row r="167" spans="1:8" s="62" customFormat="1" x14ac:dyDescent="0.2">
      <c r="A167" s="62" t="s">
        <v>2358</v>
      </c>
    </row>
    <row r="168" spans="1:8" s="62" customFormat="1" x14ac:dyDescent="0.2">
      <c r="A168" s="62" t="s">
        <v>2359</v>
      </c>
    </row>
    <row r="169" spans="1:8" s="62" customFormat="1" x14ac:dyDescent="0.2">
      <c r="A169" s="62" t="s">
        <v>2360</v>
      </c>
    </row>
    <row r="170" spans="1:8" s="62" customFormat="1" ht="17" thickBot="1" x14ac:dyDescent="0.25"/>
    <row r="171" spans="1:8" s="62" customFormat="1" x14ac:dyDescent="0.2">
      <c r="A171" s="87" t="s">
        <v>2361</v>
      </c>
      <c r="B171" s="88"/>
      <c r="C171" s="88"/>
      <c r="D171" s="88"/>
      <c r="E171" s="88"/>
      <c r="F171" s="88"/>
      <c r="G171" s="88"/>
      <c r="H171" s="89"/>
    </row>
    <row r="172" spans="1:8" s="62" customFormat="1" x14ac:dyDescent="0.2">
      <c r="A172" s="90" t="s">
        <v>2362</v>
      </c>
      <c r="H172" s="91"/>
    </row>
    <row r="173" spans="1:8" s="62" customFormat="1" x14ac:dyDescent="0.2">
      <c r="A173" s="90" t="s">
        <v>2363</v>
      </c>
      <c r="H173" s="91"/>
    </row>
    <row r="174" spans="1:8" s="62" customFormat="1" ht="17" thickBot="1" x14ac:dyDescent="0.25">
      <c r="A174" s="92" t="s">
        <v>2364</v>
      </c>
      <c r="B174" s="93"/>
      <c r="C174" s="93"/>
      <c r="D174" s="93"/>
      <c r="E174" s="93"/>
      <c r="F174" s="93"/>
      <c r="G174" s="93"/>
      <c r="H174" s="94"/>
    </row>
    <row r="175" spans="1:8" s="62" customFormat="1" x14ac:dyDescent="0.2"/>
    <row r="176" spans="1:8" s="62" customFormat="1" x14ac:dyDescent="0.2">
      <c r="A176" s="62" t="s">
        <v>2365</v>
      </c>
    </row>
    <row r="177" spans="1:8" s="62" customFormat="1" x14ac:dyDescent="0.2">
      <c r="A177" s="62" t="s">
        <v>2366</v>
      </c>
    </row>
    <row r="178" spans="1:8" s="62" customFormat="1" x14ac:dyDescent="0.2">
      <c r="A178" s="62" t="s">
        <v>2367</v>
      </c>
    </row>
    <row r="179" spans="1:8" s="62" customFormat="1" ht="17" thickBot="1" x14ac:dyDescent="0.25"/>
    <row r="180" spans="1:8" s="62" customFormat="1" x14ac:dyDescent="0.2">
      <c r="A180" s="87" t="s">
        <v>2368</v>
      </c>
      <c r="B180" s="88"/>
      <c r="C180" s="88"/>
      <c r="D180" s="88"/>
      <c r="E180" s="88"/>
      <c r="F180" s="88"/>
      <c r="G180" s="88"/>
      <c r="H180" s="89"/>
    </row>
    <row r="181" spans="1:8" s="62" customFormat="1" ht="17" thickBot="1" x14ac:dyDescent="0.25">
      <c r="A181" s="92" t="s">
        <v>2369</v>
      </c>
      <c r="B181" s="93"/>
      <c r="C181" s="93"/>
      <c r="D181" s="93"/>
      <c r="E181" s="93"/>
      <c r="F181" s="93"/>
      <c r="G181" s="93"/>
      <c r="H181" s="94"/>
    </row>
    <row r="182" spans="1:8" s="62" customFormat="1" x14ac:dyDescent="0.2"/>
    <row r="183" spans="1:8" s="62" customFormat="1" x14ac:dyDescent="0.2">
      <c r="A183" s="62" t="s">
        <v>2370</v>
      </c>
    </row>
    <row r="184" spans="1:8" s="62" customFormat="1" x14ac:dyDescent="0.2">
      <c r="A184" s="62" t="s">
        <v>2371</v>
      </c>
    </row>
    <row r="185" spans="1:8" s="62" customFormat="1" x14ac:dyDescent="0.2"/>
    <row r="186" spans="1:8" s="62" customFormat="1" x14ac:dyDescent="0.2">
      <c r="A186" s="172" t="s">
        <v>2372</v>
      </c>
      <c r="B186" s="172"/>
      <c r="C186" s="172"/>
      <c r="D186" s="172"/>
      <c r="E186" s="172"/>
      <c r="F186" s="172"/>
      <c r="G186" s="172"/>
      <c r="H186" s="172"/>
    </row>
    <row r="187" spans="1:8" s="62" customFormat="1" x14ac:dyDescent="0.2">
      <c r="A187" s="62" t="s">
        <v>2373</v>
      </c>
    </row>
    <row r="188" spans="1:8" s="62" customFormat="1" x14ac:dyDescent="0.2">
      <c r="A188" s="62" t="s">
        <v>2374</v>
      </c>
    </row>
    <row r="189" spans="1:8" s="62" customFormat="1" x14ac:dyDescent="0.2">
      <c r="A189" s="62" t="s">
        <v>2375</v>
      </c>
    </row>
    <row r="190" spans="1:8" s="62" customFormat="1" x14ac:dyDescent="0.2">
      <c r="A190" s="62" t="s">
        <v>2376</v>
      </c>
    </row>
    <row r="191" spans="1:8" s="62" customFormat="1" x14ac:dyDescent="0.2">
      <c r="A191" s="62" t="s">
        <v>3293</v>
      </c>
    </row>
    <row r="192" spans="1:8" s="62" customFormat="1" ht="17" thickBot="1" x14ac:dyDescent="0.25"/>
    <row r="193" spans="1:8" s="62" customFormat="1" x14ac:dyDescent="0.2">
      <c r="A193" s="87" t="s">
        <v>2356</v>
      </c>
      <c r="B193" s="88"/>
      <c r="C193" s="88"/>
      <c r="D193" s="88"/>
      <c r="E193" s="88"/>
      <c r="F193" s="88"/>
      <c r="G193" s="88"/>
      <c r="H193" s="89"/>
    </row>
    <row r="194" spans="1:8" s="62" customFormat="1" ht="17" thickBot="1" x14ac:dyDescent="0.25">
      <c r="A194" s="92" t="s">
        <v>2357</v>
      </c>
      <c r="B194" s="93"/>
      <c r="C194" s="93"/>
      <c r="D194" s="93"/>
      <c r="E194" s="93"/>
      <c r="F194" s="93"/>
      <c r="G194" s="93"/>
      <c r="H194" s="94"/>
    </row>
    <row r="195" spans="1:8" s="62" customFormat="1" x14ac:dyDescent="0.2"/>
    <row r="196" spans="1:8" s="62" customFormat="1" x14ac:dyDescent="0.2">
      <c r="A196" s="62" t="s">
        <v>2377</v>
      </c>
    </row>
    <row r="197" spans="1:8" s="62" customFormat="1" x14ac:dyDescent="0.2">
      <c r="A197" s="62" t="s">
        <v>2378</v>
      </c>
    </row>
    <row r="198" spans="1:8" s="62" customFormat="1" ht="17" thickBot="1" x14ac:dyDescent="0.25"/>
    <row r="199" spans="1:8" s="62" customFormat="1" x14ac:dyDescent="0.2">
      <c r="A199" s="87" t="s">
        <v>2361</v>
      </c>
      <c r="B199" s="88"/>
      <c r="C199" s="88"/>
      <c r="D199" s="88"/>
      <c r="E199" s="88"/>
      <c r="F199" s="88"/>
      <c r="G199" s="88"/>
      <c r="H199" s="89"/>
    </row>
    <row r="200" spans="1:8" s="62" customFormat="1" ht="17" thickBot="1" x14ac:dyDescent="0.25">
      <c r="A200" s="92" t="s">
        <v>2379</v>
      </c>
      <c r="B200" s="93"/>
      <c r="C200" s="93"/>
      <c r="D200" s="93"/>
      <c r="E200" s="93"/>
      <c r="F200" s="93"/>
      <c r="G200" s="93"/>
      <c r="H200" s="94"/>
    </row>
    <row r="201" spans="1:8" s="62" customFormat="1" x14ac:dyDescent="0.2"/>
    <row r="202" spans="1:8" s="62" customFormat="1" x14ac:dyDescent="0.2">
      <c r="A202" s="62" t="s">
        <v>2380</v>
      </c>
    </row>
    <row r="203" spans="1:8" s="62" customFormat="1" x14ac:dyDescent="0.2">
      <c r="A203" s="62" t="s">
        <v>2381</v>
      </c>
    </row>
    <row r="204" spans="1:8" s="62" customFormat="1" ht="17" thickBot="1" x14ac:dyDescent="0.25"/>
    <row r="205" spans="1:8" s="62" customFormat="1" x14ac:dyDescent="0.2">
      <c r="A205" s="87" t="s">
        <v>2382</v>
      </c>
      <c r="B205" s="88"/>
      <c r="C205" s="88"/>
      <c r="D205" s="88"/>
      <c r="E205" s="88"/>
      <c r="F205" s="88"/>
      <c r="G205" s="88"/>
      <c r="H205" s="89"/>
    </row>
    <row r="206" spans="1:8" s="62" customFormat="1" x14ac:dyDescent="0.2">
      <c r="A206" s="90" t="s">
        <v>2383</v>
      </c>
      <c r="H206" s="91"/>
    </row>
    <row r="207" spans="1:8" s="62" customFormat="1" ht="17" thickBot="1" x14ac:dyDescent="0.25">
      <c r="A207" s="92" t="s">
        <v>2384</v>
      </c>
      <c r="B207" s="93"/>
      <c r="C207" s="93"/>
      <c r="D207" s="93"/>
      <c r="E207" s="93"/>
      <c r="F207" s="93"/>
      <c r="G207" s="93"/>
      <c r="H207" s="94"/>
    </row>
    <row r="208" spans="1:8" s="62" customFormat="1" x14ac:dyDescent="0.2"/>
    <row r="209" spans="1:8" s="62" customFormat="1" x14ac:dyDescent="0.2">
      <c r="A209" s="62" t="s">
        <v>2385</v>
      </c>
    </row>
    <row r="210" spans="1:8" s="62" customFormat="1" x14ac:dyDescent="0.2">
      <c r="A210" s="62" t="s">
        <v>2386</v>
      </c>
    </row>
    <row r="211" spans="1:8" s="62" customFormat="1" x14ac:dyDescent="0.2">
      <c r="A211" s="62" t="s">
        <v>2387</v>
      </c>
    </row>
    <row r="212" spans="1:8" s="62" customFormat="1" x14ac:dyDescent="0.2">
      <c r="A212" s="62" t="s">
        <v>2388</v>
      </c>
    </row>
    <row r="213" spans="1:8" s="62" customFormat="1" x14ac:dyDescent="0.2">
      <c r="A213" s="62" t="s">
        <v>2389</v>
      </c>
    </row>
    <row r="214" spans="1:8" s="62" customFormat="1" x14ac:dyDescent="0.2"/>
    <row r="215" spans="1:8" s="62" customFormat="1" x14ac:dyDescent="0.2">
      <c r="A215" s="173" t="s">
        <v>2390</v>
      </c>
      <c r="B215" s="172"/>
      <c r="C215" s="172"/>
      <c r="D215" s="172"/>
      <c r="E215" s="172"/>
      <c r="F215" s="172"/>
      <c r="G215" s="172"/>
      <c r="H215" s="172"/>
    </row>
    <row r="216" spans="1:8" s="62" customFormat="1" x14ac:dyDescent="0.2">
      <c r="A216" s="62" t="s">
        <v>3294</v>
      </c>
    </row>
    <row r="217" spans="1:8" s="62" customFormat="1" x14ac:dyDescent="0.2">
      <c r="A217" s="62" t="s">
        <v>2391</v>
      </c>
    </row>
    <row r="218" spans="1:8" s="62" customFormat="1" x14ac:dyDescent="0.2">
      <c r="A218" s="62" t="s">
        <v>2392</v>
      </c>
    </row>
    <row r="219" spans="1:8" s="62" customFormat="1" x14ac:dyDescent="0.2">
      <c r="A219" s="62" t="s">
        <v>2393</v>
      </c>
    </row>
    <row r="220" spans="1:8" s="62" customFormat="1" ht="17" thickBot="1" x14ac:dyDescent="0.25"/>
    <row r="221" spans="1:8" s="62" customFormat="1" x14ac:dyDescent="0.2">
      <c r="A221" s="87" t="s">
        <v>2356</v>
      </c>
      <c r="B221" s="88"/>
      <c r="C221" s="88"/>
      <c r="D221" s="88"/>
      <c r="E221" s="88"/>
      <c r="F221" s="88"/>
      <c r="G221" s="88"/>
      <c r="H221" s="89"/>
    </row>
    <row r="222" spans="1:8" s="62" customFormat="1" ht="17" thickBot="1" x14ac:dyDescent="0.25">
      <c r="A222" s="92" t="s">
        <v>2357</v>
      </c>
      <c r="B222" s="93"/>
      <c r="C222" s="93"/>
      <c r="D222" s="93"/>
      <c r="E222" s="93"/>
      <c r="F222" s="93"/>
      <c r="G222" s="93"/>
      <c r="H222" s="94"/>
    </row>
    <row r="223" spans="1:8" s="62" customFormat="1" x14ac:dyDescent="0.2"/>
    <row r="224" spans="1:8" s="62" customFormat="1" x14ac:dyDescent="0.2">
      <c r="A224" s="62" t="s">
        <v>2394</v>
      </c>
    </row>
    <row r="225" spans="1:8" s="62" customFormat="1" x14ac:dyDescent="0.2">
      <c r="A225" s="62" t="s">
        <v>2395</v>
      </c>
    </row>
    <row r="226" spans="1:8" s="62" customFormat="1" x14ac:dyDescent="0.2">
      <c r="A226" s="62" t="s">
        <v>2396</v>
      </c>
    </row>
    <row r="227" spans="1:8" s="62" customFormat="1" x14ac:dyDescent="0.2">
      <c r="A227" s="62" t="s">
        <v>2397</v>
      </c>
    </row>
    <row r="228" spans="1:8" s="62" customFormat="1" ht="17" thickBot="1" x14ac:dyDescent="0.25"/>
    <row r="229" spans="1:8" s="62" customFormat="1" x14ac:dyDescent="0.2">
      <c r="A229" s="87" t="s">
        <v>2361</v>
      </c>
      <c r="B229" s="88"/>
      <c r="C229" s="88"/>
      <c r="D229" s="88"/>
      <c r="E229" s="88"/>
      <c r="F229" s="88"/>
      <c r="G229" s="88"/>
      <c r="H229" s="89"/>
    </row>
    <row r="230" spans="1:8" s="62" customFormat="1" ht="17" thickBot="1" x14ac:dyDescent="0.25">
      <c r="A230" s="92" t="s">
        <v>2379</v>
      </c>
      <c r="B230" s="93"/>
      <c r="C230" s="93"/>
      <c r="D230" s="93"/>
      <c r="E230" s="93"/>
      <c r="F230" s="93"/>
      <c r="G230" s="93"/>
      <c r="H230" s="94"/>
    </row>
    <row r="231" spans="1:8" s="62" customFormat="1" x14ac:dyDescent="0.2"/>
    <row r="232" spans="1:8" s="62" customFormat="1" x14ac:dyDescent="0.2">
      <c r="A232" s="62" t="s">
        <v>2398</v>
      </c>
    </row>
    <row r="233" spans="1:8" s="62" customFormat="1" ht="17" thickBot="1" x14ac:dyDescent="0.25"/>
    <row r="234" spans="1:8" s="62" customFormat="1" x14ac:dyDescent="0.2">
      <c r="A234" s="87" t="s">
        <v>2382</v>
      </c>
      <c r="B234" s="88"/>
      <c r="C234" s="88"/>
      <c r="D234" s="88"/>
      <c r="E234" s="88"/>
      <c r="F234" s="88"/>
      <c r="G234" s="88"/>
      <c r="H234" s="89"/>
    </row>
    <row r="235" spans="1:8" s="62" customFormat="1" x14ac:dyDescent="0.2">
      <c r="A235" s="90" t="s">
        <v>2383</v>
      </c>
      <c r="H235" s="91"/>
    </row>
    <row r="236" spans="1:8" s="62" customFormat="1" ht="17" thickBot="1" x14ac:dyDescent="0.25">
      <c r="A236" s="92" t="s">
        <v>2384</v>
      </c>
      <c r="B236" s="93"/>
      <c r="C236" s="93"/>
      <c r="D236" s="93"/>
      <c r="E236" s="93"/>
      <c r="F236" s="93"/>
      <c r="G236" s="93"/>
      <c r="H236" s="94"/>
    </row>
    <row r="237" spans="1:8" s="62" customFormat="1" x14ac:dyDescent="0.2"/>
    <row r="238" spans="1:8" s="62" customFormat="1" x14ac:dyDescent="0.2">
      <c r="A238" s="62" t="s">
        <v>2399</v>
      </c>
    </row>
    <row r="239" spans="1:8" s="62" customFormat="1" x14ac:dyDescent="0.2">
      <c r="A239" s="62" t="s">
        <v>2385</v>
      </c>
    </row>
    <row r="240" spans="1:8" s="62" customFormat="1" x14ac:dyDescent="0.2">
      <c r="A240" s="62" t="s">
        <v>2400</v>
      </c>
    </row>
    <row r="241" spans="1:8" s="62" customFormat="1" x14ac:dyDescent="0.2">
      <c r="A241" s="62" t="s">
        <v>2387</v>
      </c>
    </row>
    <row r="242" spans="1:8" s="62" customFormat="1" x14ac:dyDescent="0.2">
      <c r="A242" s="62" t="s">
        <v>3295</v>
      </c>
    </row>
    <row r="243" spans="1:8" s="62" customFormat="1" x14ac:dyDescent="0.2">
      <c r="A243" s="62" t="s">
        <v>2389</v>
      </c>
    </row>
    <row r="244" spans="1:8" s="62" customFormat="1" x14ac:dyDescent="0.2"/>
    <row r="245" spans="1:8" s="62" customFormat="1" x14ac:dyDescent="0.2">
      <c r="A245" s="173" t="s">
        <v>2401</v>
      </c>
      <c r="B245" s="172"/>
      <c r="C245" s="172"/>
      <c r="D245" s="172"/>
      <c r="E245" s="172"/>
      <c r="F245" s="172"/>
      <c r="G245" s="172"/>
      <c r="H245" s="172"/>
    </row>
    <row r="246" spans="1:8" s="62" customFormat="1" x14ac:dyDescent="0.2">
      <c r="A246" s="62" t="s">
        <v>2402</v>
      </c>
    </row>
    <row r="247" spans="1:8" s="62" customFormat="1" x14ac:dyDescent="0.2">
      <c r="A247" s="62" t="s">
        <v>2403</v>
      </c>
    </row>
    <row r="248" spans="1:8" s="62" customFormat="1" ht="17" thickBot="1" x14ac:dyDescent="0.25"/>
    <row r="249" spans="1:8" s="62" customFormat="1" x14ac:dyDescent="0.2">
      <c r="A249" s="87" t="s">
        <v>2356</v>
      </c>
      <c r="B249" s="88"/>
      <c r="C249" s="88"/>
      <c r="D249" s="88"/>
      <c r="E249" s="88"/>
      <c r="F249" s="88"/>
      <c r="G249" s="88"/>
      <c r="H249" s="89"/>
    </row>
    <row r="250" spans="1:8" s="62" customFormat="1" ht="17" thickBot="1" x14ac:dyDescent="0.25">
      <c r="A250" s="92" t="s">
        <v>2357</v>
      </c>
      <c r="B250" s="93"/>
      <c r="C250" s="93"/>
      <c r="D250" s="93"/>
      <c r="E250" s="93"/>
      <c r="F250" s="93"/>
      <c r="G250" s="93"/>
      <c r="H250" s="94"/>
    </row>
    <row r="251" spans="1:8" s="62" customFormat="1" x14ac:dyDescent="0.2"/>
    <row r="252" spans="1:8" s="62" customFormat="1" x14ac:dyDescent="0.2">
      <c r="A252" s="62" t="s">
        <v>2404</v>
      </c>
    </row>
    <row r="253" spans="1:8" s="62" customFormat="1" x14ac:dyDescent="0.2">
      <c r="A253" s="62" t="s">
        <v>2405</v>
      </c>
    </row>
    <row r="254" spans="1:8" s="62" customFormat="1" x14ac:dyDescent="0.2">
      <c r="A254" s="62" t="s">
        <v>2406</v>
      </c>
    </row>
    <row r="255" spans="1:8" s="62" customFormat="1" x14ac:dyDescent="0.2"/>
    <row r="256" spans="1:8" s="62" customFormat="1" x14ac:dyDescent="0.2">
      <c r="A256" s="62" t="s">
        <v>2407</v>
      </c>
    </row>
    <row r="257" spans="1:8" s="62" customFormat="1" x14ac:dyDescent="0.2">
      <c r="A257" s="62" t="s">
        <v>2408</v>
      </c>
    </row>
    <row r="258" spans="1:8" s="62" customFormat="1" ht="17" thickBot="1" x14ac:dyDescent="0.25"/>
    <row r="259" spans="1:8" s="62" customFormat="1" x14ac:dyDescent="0.2">
      <c r="A259" s="87" t="s">
        <v>2361</v>
      </c>
      <c r="B259" s="88"/>
      <c r="C259" s="88"/>
      <c r="D259" s="88"/>
      <c r="E259" s="88"/>
      <c r="F259" s="88"/>
      <c r="G259" s="88"/>
      <c r="H259" s="89"/>
    </row>
    <row r="260" spans="1:8" s="62" customFormat="1" ht="17" thickBot="1" x14ac:dyDescent="0.25">
      <c r="A260" s="92" t="s">
        <v>2379</v>
      </c>
      <c r="B260" s="93"/>
      <c r="C260" s="93"/>
      <c r="D260" s="93"/>
      <c r="E260" s="93"/>
      <c r="F260" s="93"/>
      <c r="G260" s="93"/>
      <c r="H260" s="94"/>
    </row>
    <row r="261" spans="1:8" s="62" customFormat="1" x14ac:dyDescent="0.2"/>
    <row r="262" spans="1:8" s="62" customFormat="1" x14ac:dyDescent="0.2">
      <c r="A262" s="62" t="s">
        <v>2409</v>
      </c>
    </row>
    <row r="263" spans="1:8" s="62" customFormat="1" ht="17" thickBot="1" x14ac:dyDescent="0.25"/>
    <row r="264" spans="1:8" s="62" customFormat="1" x14ac:dyDescent="0.2">
      <c r="A264" s="87" t="s">
        <v>2382</v>
      </c>
      <c r="B264" s="88"/>
      <c r="C264" s="88"/>
      <c r="D264" s="88"/>
      <c r="E264" s="88"/>
      <c r="F264" s="88"/>
      <c r="G264" s="88"/>
      <c r="H264" s="89"/>
    </row>
    <row r="265" spans="1:8" s="62" customFormat="1" x14ac:dyDescent="0.2">
      <c r="A265" s="90" t="s">
        <v>2383</v>
      </c>
      <c r="H265" s="91"/>
    </row>
    <row r="266" spans="1:8" s="62" customFormat="1" ht="17" thickBot="1" x14ac:dyDescent="0.25">
      <c r="A266" s="92" t="s">
        <v>2384</v>
      </c>
      <c r="B266" s="93"/>
      <c r="C266" s="93"/>
      <c r="D266" s="93"/>
      <c r="E266" s="93"/>
      <c r="F266" s="93"/>
      <c r="G266" s="93"/>
      <c r="H266" s="94"/>
    </row>
    <row r="268" spans="1:8" x14ac:dyDescent="0.2">
      <c r="A268" s="62" t="s">
        <v>2399</v>
      </c>
    </row>
    <row r="269" spans="1:8" x14ac:dyDescent="0.2">
      <c r="A269" s="62" t="s">
        <v>2385</v>
      </c>
    </row>
    <row r="270" spans="1:8" x14ac:dyDescent="0.2">
      <c r="A270" s="62" t="s">
        <v>2400</v>
      </c>
    </row>
    <row r="271" spans="1:8" x14ac:dyDescent="0.2">
      <c r="A271" s="62" t="s">
        <v>2387</v>
      </c>
    </row>
    <row r="272" spans="1:8" x14ac:dyDescent="0.2">
      <c r="A272" s="62" t="s">
        <v>2410</v>
      </c>
    </row>
    <row r="273" spans="1:1" x14ac:dyDescent="0.2">
      <c r="A273" s="62"/>
    </row>
    <row r="324" spans="9:10" x14ac:dyDescent="0.2">
      <c r="I324" s="1" t="s">
        <v>3690</v>
      </c>
    </row>
    <row r="325" spans="9:10" x14ac:dyDescent="0.2">
      <c r="I325" s="1">
        <v>2058000</v>
      </c>
    </row>
    <row r="326" spans="9:10" x14ac:dyDescent="0.2">
      <c r="I326" s="1">
        <v>2794400</v>
      </c>
    </row>
    <row r="327" spans="9:10" x14ac:dyDescent="0.2">
      <c r="I327" s="1">
        <f>3562300</f>
        <v>3562300</v>
      </c>
    </row>
    <row r="328" spans="9:10" x14ac:dyDescent="0.2">
      <c r="I328" s="1">
        <f>4366836</f>
        <v>4366836</v>
      </c>
    </row>
    <row r="329" spans="9:10" x14ac:dyDescent="0.2">
      <c r="I329" s="1">
        <v>5211837</v>
      </c>
    </row>
    <row r="331" spans="9:10" x14ac:dyDescent="0.2">
      <c r="I331" s="120">
        <v>0.04</v>
      </c>
      <c r="J331" s="1" t="s">
        <v>3691</v>
      </c>
    </row>
    <row r="333" spans="9:10" x14ac:dyDescent="0.2">
      <c r="I333" s="330">
        <f>NPV(I331,I325:I329)</f>
        <v>15745837.584647179</v>
      </c>
      <c r="J333" s="1" t="s">
        <v>3692</v>
      </c>
    </row>
  </sheetData>
  <mergeCells count="1">
    <mergeCell ref="A1:H1"/>
  </mergeCells>
  <pageMargins left="0.7" right="0.7" top="0.75" bottom="0.75" header="0.3" footer="0.3"/>
  <pageSetup paperSize="9" orientation="portrait" horizontalDpi="0" verticalDpi="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3BA72F-5969-9649-BE75-CA6D2FD8EEEC}">
  <dimension ref="A1:H1"/>
  <sheetViews>
    <sheetView rightToLeft="1" zoomScale="180" workbookViewId="0">
      <selection activeCell="E24" sqref="E24"/>
    </sheetView>
  </sheetViews>
  <sheetFormatPr baseColWidth="10" defaultRowHeight="16" x14ac:dyDescent="0.2"/>
  <cols>
    <col min="5" max="5" width="31.5" customWidth="1"/>
  </cols>
  <sheetData>
    <row r="1" spans="1:8" s="1" customFormat="1" x14ac:dyDescent="0.2">
      <c r="A1" s="359" t="s">
        <v>3296</v>
      </c>
      <c r="B1" s="359"/>
      <c r="C1" s="359"/>
      <c r="D1" s="359"/>
      <c r="E1" s="359"/>
      <c r="F1" s="359"/>
      <c r="G1" s="359"/>
      <c r="H1" s="359"/>
    </row>
  </sheetData>
  <mergeCells count="1">
    <mergeCell ref="A1:H1"/>
  </mergeCells>
  <pageMargins left="0.7" right="0.7"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5A0C2-155D-5647-9819-3A757DE7E175}">
  <dimension ref="A1:L453"/>
  <sheetViews>
    <sheetView rightToLeft="1" zoomScale="281" zoomScaleNormal="250" workbookViewId="0">
      <selection activeCell="E25" sqref="E25"/>
    </sheetView>
  </sheetViews>
  <sheetFormatPr baseColWidth="10" defaultRowHeight="16" x14ac:dyDescent="0.2"/>
  <cols>
    <col min="1" max="16384" width="10.83203125" style="1"/>
  </cols>
  <sheetData>
    <row r="1" spans="1:8" x14ac:dyDescent="0.2">
      <c r="A1" s="333" t="s">
        <v>3329</v>
      </c>
      <c r="B1" s="333"/>
      <c r="C1" s="333"/>
      <c r="D1" s="333"/>
      <c r="E1" s="333"/>
      <c r="F1" s="333"/>
      <c r="G1" s="333"/>
      <c r="H1" s="333"/>
    </row>
    <row r="3" spans="1:8" x14ac:dyDescent="0.2">
      <c r="A3" s="1" t="s">
        <v>3330</v>
      </c>
    </row>
    <row r="4" spans="1:8" x14ac:dyDescent="0.2">
      <c r="A4" s="1" t="s">
        <v>3331</v>
      </c>
      <c r="E4" s="1" t="s">
        <v>3336</v>
      </c>
      <c r="F4" s="1" t="s">
        <v>3332</v>
      </c>
    </row>
    <row r="5" spans="1:8" x14ac:dyDescent="0.2">
      <c r="E5" s="1" t="s">
        <v>3337</v>
      </c>
      <c r="F5" s="1" t="s">
        <v>3333</v>
      </c>
    </row>
    <row r="6" spans="1:8" x14ac:dyDescent="0.2">
      <c r="A6" s="1" t="s">
        <v>3343</v>
      </c>
      <c r="E6" s="1" t="s">
        <v>3338</v>
      </c>
      <c r="G6" s="1" t="s">
        <v>3334</v>
      </c>
    </row>
    <row r="7" spans="1:8" x14ac:dyDescent="0.2">
      <c r="A7" s="1" t="s">
        <v>3344</v>
      </c>
      <c r="E7" s="1" t="s">
        <v>3339</v>
      </c>
      <c r="G7" s="1" t="s">
        <v>3335</v>
      </c>
    </row>
    <row r="8" spans="1:8" x14ac:dyDescent="0.2">
      <c r="A8" s="1" t="s">
        <v>3345</v>
      </c>
      <c r="E8" s="1" t="s">
        <v>3340</v>
      </c>
    </row>
    <row r="9" spans="1:8" x14ac:dyDescent="0.2">
      <c r="A9" s="1" t="s">
        <v>3346</v>
      </c>
      <c r="E9" s="1" t="s">
        <v>3341</v>
      </c>
      <c r="F9" s="1" t="s">
        <v>3342</v>
      </c>
    </row>
    <row r="11" spans="1:8" x14ac:dyDescent="0.2">
      <c r="A11" s="1" t="s">
        <v>3347</v>
      </c>
    </row>
    <row r="12" spans="1:8" x14ac:dyDescent="0.2">
      <c r="A12" s="1" t="s">
        <v>3348</v>
      </c>
    </row>
    <row r="14" spans="1:8" x14ac:dyDescent="0.2">
      <c r="A14" s="30" t="s">
        <v>252</v>
      </c>
      <c r="B14" s="30"/>
      <c r="C14" s="30"/>
      <c r="D14" s="30"/>
      <c r="E14" s="30"/>
      <c r="F14" s="30"/>
      <c r="G14" s="30"/>
      <c r="H14" s="30"/>
    </row>
    <row r="16" spans="1:8" x14ac:dyDescent="0.2">
      <c r="A16" s="3" t="s">
        <v>253</v>
      </c>
    </row>
    <row r="17" spans="1:8" x14ac:dyDescent="0.2">
      <c r="A17" s="1" t="s">
        <v>254</v>
      </c>
    </row>
    <row r="18" spans="1:8" x14ac:dyDescent="0.2">
      <c r="A18" s="1" t="s">
        <v>255</v>
      </c>
    </row>
    <row r="19" spans="1:8" x14ac:dyDescent="0.2">
      <c r="A19" s="1" t="s">
        <v>256</v>
      </c>
    </row>
    <row r="20" spans="1:8" x14ac:dyDescent="0.2">
      <c r="A20" s="3" t="s">
        <v>3349</v>
      </c>
    </row>
    <row r="22" spans="1:8" x14ac:dyDescent="0.2">
      <c r="A22" s="1" t="s">
        <v>3350</v>
      </c>
    </row>
    <row r="23" spans="1:8" x14ac:dyDescent="0.2">
      <c r="A23" s="1" t="s">
        <v>3351</v>
      </c>
    </row>
    <row r="25" spans="1:8" x14ac:dyDescent="0.2">
      <c r="A25" s="3" t="s">
        <v>257</v>
      </c>
    </row>
    <row r="26" spans="1:8" x14ac:dyDescent="0.2">
      <c r="A26" s="1" t="s">
        <v>258</v>
      </c>
    </row>
    <row r="27" spans="1:8" x14ac:dyDescent="0.2">
      <c r="B27" s="1" t="s">
        <v>259</v>
      </c>
    </row>
    <row r="28" spans="1:8" x14ac:dyDescent="0.2">
      <c r="B28" s="1" t="s">
        <v>260</v>
      </c>
    </row>
    <row r="30" spans="1:8" x14ac:dyDescent="0.2">
      <c r="A30" s="3" t="s">
        <v>3352</v>
      </c>
      <c r="B30" s="3"/>
      <c r="C30" s="3"/>
      <c r="D30" s="3"/>
      <c r="E30" s="3"/>
      <c r="F30" s="3"/>
    </row>
    <row r="31" spans="1:8" ht="17" thickBot="1" x14ac:dyDescent="0.25"/>
    <row r="32" spans="1:8" x14ac:dyDescent="0.2">
      <c r="A32" s="31" t="s">
        <v>261</v>
      </c>
      <c r="B32" s="32"/>
      <c r="C32" s="32"/>
      <c r="D32" s="32"/>
      <c r="E32" s="32"/>
      <c r="F32" s="32"/>
      <c r="G32" s="32"/>
      <c r="H32" s="33"/>
    </row>
    <row r="33" spans="1:8" x14ac:dyDescent="0.2">
      <c r="A33" s="78" t="s">
        <v>3353</v>
      </c>
      <c r="H33" s="35"/>
    </row>
    <row r="34" spans="1:8" x14ac:dyDescent="0.2">
      <c r="A34" s="34" t="s">
        <v>3354</v>
      </c>
      <c r="H34" s="35"/>
    </row>
    <row r="35" spans="1:8" x14ac:dyDescent="0.2">
      <c r="A35" s="34" t="s">
        <v>262</v>
      </c>
      <c r="H35" s="35"/>
    </row>
    <row r="36" spans="1:8" ht="17" thickBot="1" x14ac:dyDescent="0.25">
      <c r="A36" s="36" t="s">
        <v>263</v>
      </c>
      <c r="B36" s="37"/>
      <c r="C36" s="37"/>
      <c r="D36" s="37"/>
      <c r="E36" s="37"/>
      <c r="F36" s="37"/>
      <c r="G36" s="37"/>
      <c r="H36" s="38"/>
    </row>
    <row r="38" spans="1:8" x14ac:dyDescent="0.2">
      <c r="A38" s="3" t="s">
        <v>2745</v>
      </c>
    </row>
    <row r="39" spans="1:8" x14ac:dyDescent="0.2">
      <c r="A39" s="1" t="s">
        <v>2746</v>
      </c>
    </row>
    <row r="40" spans="1:8" x14ac:dyDescent="0.2">
      <c r="A40" s="1" t="s">
        <v>2747</v>
      </c>
    </row>
    <row r="41" spans="1:8" x14ac:dyDescent="0.2">
      <c r="A41" s="1" t="s">
        <v>2748</v>
      </c>
    </row>
    <row r="42" spans="1:8" x14ac:dyDescent="0.2">
      <c r="A42" s="1" t="s">
        <v>2749</v>
      </c>
    </row>
    <row r="43" spans="1:8" x14ac:dyDescent="0.2">
      <c r="A43" s="1" t="s">
        <v>2750</v>
      </c>
    </row>
    <row r="44" spans="1:8" x14ac:dyDescent="0.2">
      <c r="A44" s="1" t="s">
        <v>2751</v>
      </c>
    </row>
    <row r="45" spans="1:8" x14ac:dyDescent="0.2">
      <c r="A45" s="1" t="s">
        <v>2752</v>
      </c>
    </row>
    <row r="46" spans="1:8" ht="17" thickBot="1" x14ac:dyDescent="0.25"/>
    <row r="47" spans="1:8" x14ac:dyDescent="0.2">
      <c r="A47" s="31" t="s">
        <v>264</v>
      </c>
      <c r="B47" s="32"/>
      <c r="C47" s="32"/>
      <c r="D47" s="32"/>
      <c r="E47" s="32"/>
      <c r="F47" s="32"/>
      <c r="G47" s="32"/>
      <c r="H47" s="33"/>
    </row>
    <row r="48" spans="1:8" x14ac:dyDescent="0.2">
      <c r="A48" s="34" t="s">
        <v>3355</v>
      </c>
      <c r="H48" s="35"/>
    </row>
    <row r="49" spans="1:8" x14ac:dyDescent="0.2">
      <c r="A49" s="34" t="s">
        <v>265</v>
      </c>
      <c r="H49" s="35"/>
    </row>
    <row r="50" spans="1:8" ht="17" thickBot="1" x14ac:dyDescent="0.25">
      <c r="A50" s="36" t="s">
        <v>266</v>
      </c>
      <c r="B50" s="37"/>
      <c r="C50" s="37"/>
      <c r="D50" s="37"/>
      <c r="E50" s="37"/>
      <c r="F50" s="37"/>
      <c r="G50" s="37"/>
      <c r="H50" s="38"/>
    </row>
    <row r="52" spans="1:8" x14ac:dyDescent="0.2">
      <c r="A52" s="4" t="s">
        <v>267</v>
      </c>
      <c r="B52" s="4"/>
      <c r="C52" s="4"/>
      <c r="D52" s="4"/>
      <c r="E52" s="4"/>
      <c r="F52" s="4"/>
      <c r="G52" s="4"/>
      <c r="H52" s="4"/>
    </row>
    <row r="54" spans="1:8" x14ac:dyDescent="0.2">
      <c r="A54" s="1" t="s">
        <v>268</v>
      </c>
    </row>
    <row r="55" spans="1:8" x14ac:dyDescent="0.2">
      <c r="A55" s="1" t="s">
        <v>269</v>
      </c>
    </row>
    <row r="56" spans="1:8" x14ac:dyDescent="0.2">
      <c r="A56" s="1" t="s">
        <v>270</v>
      </c>
    </row>
    <row r="58" spans="1:8" x14ac:dyDescent="0.2">
      <c r="A58" s="1" t="s">
        <v>271</v>
      </c>
    </row>
    <row r="59" spans="1:8" x14ac:dyDescent="0.2">
      <c r="A59" s="1" t="s">
        <v>272</v>
      </c>
    </row>
    <row r="60" spans="1:8" x14ac:dyDescent="0.2">
      <c r="A60" s="1" t="s">
        <v>273</v>
      </c>
    </row>
    <row r="61" spans="1:8" x14ac:dyDescent="0.2">
      <c r="A61" s="1" t="s">
        <v>274</v>
      </c>
    </row>
    <row r="62" spans="1:8" x14ac:dyDescent="0.2">
      <c r="A62" s="1" t="s">
        <v>275</v>
      </c>
    </row>
    <row r="64" spans="1:8" x14ac:dyDescent="0.2">
      <c r="A64" s="1" t="s">
        <v>276</v>
      </c>
    </row>
    <row r="65" spans="1:12" x14ac:dyDescent="0.2">
      <c r="A65" s="1" t="s">
        <v>277</v>
      </c>
      <c r="L65" s="7"/>
    </row>
    <row r="66" spans="1:12" x14ac:dyDescent="0.2">
      <c r="A66" s="1" t="s">
        <v>278</v>
      </c>
      <c r="L66" s="7"/>
    </row>
    <row r="67" spans="1:12" x14ac:dyDescent="0.2">
      <c r="L67" s="7"/>
    </row>
    <row r="68" spans="1:12" x14ac:dyDescent="0.2">
      <c r="A68" s="1" t="s">
        <v>279</v>
      </c>
    </row>
    <row r="69" spans="1:12" x14ac:dyDescent="0.2">
      <c r="A69" s="1" t="s">
        <v>280</v>
      </c>
    </row>
    <row r="71" spans="1:12" x14ac:dyDescent="0.2">
      <c r="A71" s="1" t="s">
        <v>281</v>
      </c>
    </row>
    <row r="72" spans="1:12" x14ac:dyDescent="0.2">
      <c r="A72" s="1" t="s">
        <v>282</v>
      </c>
    </row>
    <row r="74" spans="1:12" x14ac:dyDescent="0.2">
      <c r="A74" s="3" t="s">
        <v>97</v>
      </c>
    </row>
    <row r="75" spans="1:12" x14ac:dyDescent="0.2">
      <c r="A75" s="3" t="s">
        <v>2775</v>
      </c>
    </row>
    <row r="76" spans="1:12" x14ac:dyDescent="0.2">
      <c r="A76" s="3" t="s">
        <v>99</v>
      </c>
    </row>
    <row r="77" spans="1:12" x14ac:dyDescent="0.2">
      <c r="A77" s="3" t="s">
        <v>100</v>
      </c>
    </row>
    <row r="79" spans="1:12" x14ac:dyDescent="0.2">
      <c r="A79" s="4" t="s">
        <v>283</v>
      </c>
      <c r="B79" s="4"/>
      <c r="C79" s="4"/>
      <c r="D79" s="4"/>
      <c r="E79" s="4"/>
      <c r="F79" s="4"/>
      <c r="G79" s="4"/>
      <c r="H79" s="4"/>
    </row>
    <row r="81" spans="1:6" x14ac:dyDescent="0.2">
      <c r="A81" s="12">
        <v>41699</v>
      </c>
      <c r="B81" s="13" t="s">
        <v>431</v>
      </c>
      <c r="C81" s="13"/>
      <c r="D81" s="13"/>
    </row>
    <row r="82" spans="1:6" x14ac:dyDescent="0.2">
      <c r="A82" s="1" t="s">
        <v>2753</v>
      </c>
    </row>
    <row r="83" spans="1:6" x14ac:dyDescent="0.2">
      <c r="A83" s="1" t="s">
        <v>2754</v>
      </c>
    </row>
    <row r="85" spans="1:6" x14ac:dyDescent="0.2">
      <c r="C85" s="10" t="s">
        <v>102</v>
      </c>
      <c r="D85" s="10" t="s">
        <v>103</v>
      </c>
    </row>
    <row r="86" spans="1:6" x14ac:dyDescent="0.2">
      <c r="A86" s="1" t="s">
        <v>190</v>
      </c>
      <c r="C86" s="11">
        <v>500000</v>
      </c>
      <c r="F86" s="1" t="s">
        <v>432</v>
      </c>
    </row>
    <row r="87" spans="1:6" x14ac:dyDescent="0.2">
      <c r="A87" s="1" t="s">
        <v>105</v>
      </c>
      <c r="D87" s="11">
        <f>C86</f>
        <v>500000</v>
      </c>
    </row>
    <row r="88" spans="1:6" x14ac:dyDescent="0.2">
      <c r="D88" s="11"/>
    </row>
    <row r="89" spans="1:6" x14ac:dyDescent="0.2">
      <c r="A89" s="1" t="s">
        <v>430</v>
      </c>
      <c r="D89" s="11"/>
    </row>
    <row r="90" spans="1:6" x14ac:dyDescent="0.2">
      <c r="A90" s="1" t="s">
        <v>2755</v>
      </c>
    </row>
    <row r="92" spans="1:6" x14ac:dyDescent="0.2">
      <c r="A92" s="12">
        <v>41760</v>
      </c>
      <c r="B92" s="13" t="s">
        <v>433</v>
      </c>
      <c r="C92" s="13"/>
      <c r="D92" s="13"/>
    </row>
    <row r="94" spans="1:6" x14ac:dyDescent="0.2">
      <c r="A94" s="1" t="s">
        <v>2756</v>
      </c>
    </row>
    <row r="95" spans="1:6" x14ac:dyDescent="0.2">
      <c r="A95" s="1" t="s">
        <v>2757</v>
      </c>
    </row>
    <row r="96" spans="1:6" x14ac:dyDescent="0.2">
      <c r="A96" s="1" t="s">
        <v>2758</v>
      </c>
    </row>
    <row r="97" spans="1:5" x14ac:dyDescent="0.2">
      <c r="A97" s="1" t="s">
        <v>2759</v>
      </c>
    </row>
    <row r="98" spans="1:5" x14ac:dyDescent="0.2">
      <c r="A98" s="1" t="s">
        <v>284</v>
      </c>
    </row>
    <row r="100" spans="1:5" x14ac:dyDescent="0.2">
      <c r="A100" s="3" t="s">
        <v>285</v>
      </c>
    </row>
    <row r="102" spans="1:5" x14ac:dyDescent="0.2">
      <c r="A102" s="12">
        <v>41820</v>
      </c>
      <c r="B102" s="39" t="s">
        <v>286</v>
      </c>
      <c r="C102" s="13"/>
      <c r="D102" s="13"/>
    </row>
    <row r="103" spans="1:5" x14ac:dyDescent="0.2">
      <c r="C103" s="10" t="s">
        <v>102</v>
      </c>
      <c r="D103" s="10" t="s">
        <v>103</v>
      </c>
    </row>
    <row r="104" spans="1:5" x14ac:dyDescent="0.2">
      <c r="A104" s="1" t="s">
        <v>190</v>
      </c>
      <c r="C104" s="11">
        <v>75000</v>
      </c>
      <c r="E104" s="1" t="s">
        <v>287</v>
      </c>
    </row>
    <row r="105" spans="1:5" x14ac:dyDescent="0.2">
      <c r="A105" s="1" t="s">
        <v>202</v>
      </c>
      <c r="D105" s="11">
        <f>C104</f>
        <v>75000</v>
      </c>
    </row>
    <row r="107" spans="1:5" x14ac:dyDescent="0.2">
      <c r="A107" s="1" t="s">
        <v>288</v>
      </c>
    </row>
    <row r="108" spans="1:5" x14ac:dyDescent="0.2">
      <c r="A108" s="1" t="s">
        <v>2760</v>
      </c>
    </row>
    <row r="109" spans="1:5" x14ac:dyDescent="0.2">
      <c r="A109" s="1" t="s">
        <v>2761</v>
      </c>
    </row>
    <row r="111" spans="1:5" x14ac:dyDescent="0.2">
      <c r="A111" s="1" t="s">
        <v>289</v>
      </c>
      <c r="D111" s="11">
        <v>500000</v>
      </c>
      <c r="E111" s="1" t="s">
        <v>2762</v>
      </c>
    </row>
    <row r="112" spans="1:5" ht="17" thickBot="1" x14ac:dyDescent="0.25">
      <c r="A112" s="1" t="s">
        <v>290</v>
      </c>
      <c r="D112" s="11">
        <v>575000</v>
      </c>
      <c r="E112" s="1" t="s">
        <v>2763</v>
      </c>
    </row>
    <row r="113" spans="1:6" ht="17" thickBot="1" x14ac:dyDescent="0.25">
      <c r="A113" s="1" t="s">
        <v>291</v>
      </c>
      <c r="D113" s="40">
        <f>D112-D111</f>
        <v>75000</v>
      </c>
      <c r="F113" s="1" t="s">
        <v>2764</v>
      </c>
    </row>
    <row r="115" spans="1:6" x14ac:dyDescent="0.2">
      <c r="A115" s="1" t="s">
        <v>2765</v>
      </c>
    </row>
    <row r="116" spans="1:6" x14ac:dyDescent="0.2">
      <c r="A116" s="1" t="s">
        <v>434</v>
      </c>
    </row>
    <row r="117" spans="1:6" x14ac:dyDescent="0.2">
      <c r="A117" s="1" t="s">
        <v>435</v>
      </c>
    </row>
    <row r="118" spans="1:6" x14ac:dyDescent="0.2">
      <c r="A118" s="1" t="s">
        <v>292</v>
      </c>
    </row>
    <row r="120" spans="1:6" x14ac:dyDescent="0.2">
      <c r="C120" s="10" t="s">
        <v>102</v>
      </c>
      <c r="D120" s="10" t="s">
        <v>103</v>
      </c>
    </row>
    <row r="121" spans="1:6" x14ac:dyDescent="0.2">
      <c r="A121" s="1" t="s">
        <v>293</v>
      </c>
      <c r="C121" s="11">
        <f>575000</f>
        <v>575000</v>
      </c>
      <c r="E121" s="1" t="s">
        <v>2766</v>
      </c>
    </row>
    <row r="122" spans="1:6" x14ac:dyDescent="0.2">
      <c r="A122" s="1" t="s">
        <v>190</v>
      </c>
      <c r="D122" s="11">
        <f>C121</f>
        <v>575000</v>
      </c>
      <c r="E122" s="1" t="s">
        <v>2767</v>
      </c>
    </row>
    <row r="124" spans="1:6" x14ac:dyDescent="0.2">
      <c r="A124" s="12">
        <v>42004</v>
      </c>
      <c r="B124" s="39" t="s">
        <v>294</v>
      </c>
      <c r="C124" s="13"/>
      <c r="D124" s="13"/>
    </row>
    <row r="126" spans="1:6" x14ac:dyDescent="0.2">
      <c r="A126" s="1" t="s">
        <v>295</v>
      </c>
    </row>
    <row r="127" spans="1:6" x14ac:dyDescent="0.2">
      <c r="A127" s="1" t="s">
        <v>296</v>
      </c>
    </row>
    <row r="129" spans="1:10" x14ac:dyDescent="0.2">
      <c r="C129" s="10" t="s">
        <v>102</v>
      </c>
      <c r="D129" s="10" t="s">
        <v>103</v>
      </c>
    </row>
    <row r="130" spans="1:10" x14ac:dyDescent="0.2">
      <c r="A130" s="1" t="s">
        <v>293</v>
      </c>
      <c r="C130" s="11">
        <v>30000</v>
      </c>
    </row>
    <row r="131" spans="1:10" x14ac:dyDescent="0.2">
      <c r="A131" s="1" t="s">
        <v>105</v>
      </c>
      <c r="D131" s="11">
        <f>C130</f>
        <v>30000</v>
      </c>
    </row>
    <row r="133" spans="1:10" x14ac:dyDescent="0.2">
      <c r="A133" s="1" t="s">
        <v>297</v>
      </c>
    </row>
    <row r="134" spans="1:10" x14ac:dyDescent="0.2">
      <c r="A134" s="1" t="s">
        <v>3356</v>
      </c>
    </row>
    <row r="136" spans="1:10" x14ac:dyDescent="0.2">
      <c r="A136" s="1" t="s">
        <v>2768</v>
      </c>
      <c r="F136" s="1" t="s">
        <v>298</v>
      </c>
    </row>
    <row r="137" spans="1:10" x14ac:dyDescent="0.2">
      <c r="A137" s="1" t="s">
        <v>299</v>
      </c>
      <c r="D137" s="60">
        <f>C121</f>
        <v>575000</v>
      </c>
      <c r="F137" s="1" t="s">
        <v>300</v>
      </c>
      <c r="I137" s="60">
        <v>610000</v>
      </c>
    </row>
    <row r="138" spans="1:10" ht="17" thickBot="1" x14ac:dyDescent="0.25">
      <c r="A138" s="1" t="s">
        <v>301</v>
      </c>
      <c r="D138" s="60">
        <v>30000</v>
      </c>
      <c r="F138" s="1" t="s">
        <v>302</v>
      </c>
      <c r="I138" s="62">
        <v>0</v>
      </c>
      <c r="J138" s="1" t="s">
        <v>2769</v>
      </c>
    </row>
    <row r="139" spans="1:10" ht="17" thickBot="1" x14ac:dyDescent="0.25">
      <c r="A139" s="1" t="s">
        <v>303</v>
      </c>
      <c r="D139" s="61">
        <f>D137+D138</f>
        <v>605000</v>
      </c>
      <c r="F139" s="1" t="s">
        <v>304</v>
      </c>
      <c r="I139" s="63">
        <v>-10000</v>
      </c>
      <c r="J139" s="1" t="s">
        <v>2770</v>
      </c>
    </row>
    <row r="140" spans="1:10" ht="17" thickBot="1" x14ac:dyDescent="0.25">
      <c r="F140" s="1" t="s">
        <v>305</v>
      </c>
      <c r="I140" s="61">
        <f>SUM(I137:I139)</f>
        <v>600000</v>
      </c>
    </row>
    <row r="142" spans="1:10" x14ac:dyDescent="0.2">
      <c r="A142" s="1" t="s">
        <v>2772</v>
      </c>
      <c r="F142" s="1" t="s">
        <v>2771</v>
      </c>
    </row>
    <row r="143" spans="1:10" x14ac:dyDescent="0.2">
      <c r="A143" s="1" t="s">
        <v>2773</v>
      </c>
    </row>
    <row r="144" spans="1:10" x14ac:dyDescent="0.2">
      <c r="A144" s="1" t="s">
        <v>306</v>
      </c>
    </row>
    <row r="146" spans="1:8" x14ac:dyDescent="0.2">
      <c r="C146" s="10" t="s">
        <v>102</v>
      </c>
      <c r="D146" s="10" t="s">
        <v>103</v>
      </c>
    </row>
    <row r="147" spans="1:8" x14ac:dyDescent="0.2">
      <c r="A147" s="1" t="s">
        <v>307</v>
      </c>
      <c r="C147" s="11">
        <v>5000</v>
      </c>
      <c r="E147" s="1" t="s">
        <v>2774</v>
      </c>
    </row>
    <row r="148" spans="1:8" x14ac:dyDescent="0.2">
      <c r="A148" s="1" t="s">
        <v>293</v>
      </c>
      <c r="D148" s="11">
        <f>C147</f>
        <v>5000</v>
      </c>
    </row>
    <row r="150" spans="1:8" x14ac:dyDescent="0.2">
      <c r="A150" s="7" t="s">
        <v>308</v>
      </c>
      <c r="B150" s="1" t="s">
        <v>309</v>
      </c>
    </row>
    <row r="151" spans="1:8" x14ac:dyDescent="0.2">
      <c r="B151" s="1" t="s">
        <v>310</v>
      </c>
    </row>
    <row r="153" spans="1:8" x14ac:dyDescent="0.2">
      <c r="A153" s="1" t="s">
        <v>2776</v>
      </c>
    </row>
    <row r="154" spans="1:8" ht="17" thickBot="1" x14ac:dyDescent="0.25"/>
    <row r="155" spans="1:8" x14ac:dyDescent="0.2">
      <c r="A155" s="46" t="s">
        <v>2598</v>
      </c>
      <c r="B155" s="32"/>
      <c r="C155" s="218">
        <v>42004</v>
      </c>
      <c r="F155" s="46" t="s">
        <v>293</v>
      </c>
      <c r="G155" s="32"/>
      <c r="H155" s="218">
        <v>42004</v>
      </c>
    </row>
    <row r="156" spans="1:8" x14ac:dyDescent="0.2">
      <c r="A156" s="34" t="s">
        <v>190</v>
      </c>
      <c r="C156" s="219">
        <v>0</v>
      </c>
      <c r="F156" s="34" t="s">
        <v>293</v>
      </c>
      <c r="H156" s="221">
        <v>600000</v>
      </c>
    </row>
    <row r="157" spans="1:8" x14ac:dyDescent="0.2">
      <c r="A157" s="34"/>
      <c r="C157" s="35"/>
      <c r="F157" s="34"/>
      <c r="H157" s="35"/>
    </row>
    <row r="158" spans="1:8" ht="17" thickBot="1" x14ac:dyDescent="0.25">
      <c r="A158" s="36" t="s">
        <v>2777</v>
      </c>
      <c r="B158" s="37"/>
      <c r="C158" s="220">
        <v>75000</v>
      </c>
      <c r="F158" s="36" t="s">
        <v>307</v>
      </c>
      <c r="G158" s="37"/>
      <c r="H158" s="220">
        <f>C147</f>
        <v>5000</v>
      </c>
    </row>
    <row r="164" spans="1:6" x14ac:dyDescent="0.2">
      <c r="A164" s="22" t="s">
        <v>208</v>
      </c>
      <c r="B164" s="23"/>
      <c r="C164" s="23"/>
      <c r="D164" s="23"/>
    </row>
    <row r="166" spans="1:6" x14ac:dyDescent="0.2">
      <c r="A166" s="10" t="s">
        <v>190</v>
      </c>
      <c r="B166" s="10"/>
      <c r="C166" s="41" t="s">
        <v>102</v>
      </c>
      <c r="D166" s="41" t="s">
        <v>103</v>
      </c>
      <c r="E166" s="10"/>
      <c r="F166" s="10"/>
    </row>
    <row r="167" spans="1:6" x14ac:dyDescent="0.2">
      <c r="A167" s="2">
        <v>41699</v>
      </c>
      <c r="B167" s="1" t="s">
        <v>311</v>
      </c>
      <c r="C167" s="42">
        <v>500000</v>
      </c>
      <c r="D167" s="7"/>
    </row>
    <row r="168" spans="1:6" x14ac:dyDescent="0.2">
      <c r="A168" s="2">
        <v>41820</v>
      </c>
      <c r="B168" s="1" t="s">
        <v>312</v>
      </c>
      <c r="C168" s="42">
        <v>75000</v>
      </c>
      <c r="D168" s="7"/>
    </row>
    <row r="169" spans="1:6" x14ac:dyDescent="0.2">
      <c r="C169" s="7"/>
      <c r="D169" s="42">
        <f>C167+C168</f>
        <v>575000</v>
      </c>
      <c r="E169" s="1" t="s">
        <v>313</v>
      </c>
      <c r="F169" s="2">
        <v>41820</v>
      </c>
    </row>
    <row r="170" spans="1:6" x14ac:dyDescent="0.2">
      <c r="B170" s="1" t="s">
        <v>314</v>
      </c>
      <c r="C170" s="43">
        <f>SUM(C167:C169)</f>
        <v>575000</v>
      </c>
      <c r="D170" s="43">
        <f>SUM(D167:D169)</f>
        <v>575000</v>
      </c>
    </row>
    <row r="171" spans="1:6" x14ac:dyDescent="0.2">
      <c r="B171" s="1" t="s">
        <v>315</v>
      </c>
      <c r="C171" s="44">
        <v>0</v>
      </c>
    </row>
    <row r="173" spans="1:6" x14ac:dyDescent="0.2">
      <c r="A173" s="10" t="s">
        <v>316</v>
      </c>
      <c r="B173" s="10"/>
      <c r="C173" s="41" t="s">
        <v>102</v>
      </c>
      <c r="D173" s="41" t="s">
        <v>103</v>
      </c>
    </row>
    <row r="174" spans="1:6" x14ac:dyDescent="0.2">
      <c r="C174" s="7"/>
      <c r="D174" s="45">
        <v>75000</v>
      </c>
      <c r="E174" s="1" t="s">
        <v>312</v>
      </c>
      <c r="F174" s="2">
        <v>41820</v>
      </c>
    </row>
    <row r="175" spans="1:6" x14ac:dyDescent="0.2">
      <c r="C175" s="7"/>
      <c r="D175" s="7"/>
    </row>
    <row r="176" spans="1:6" x14ac:dyDescent="0.2">
      <c r="C176" s="7"/>
      <c r="D176" s="7"/>
    </row>
    <row r="177" spans="1:6" x14ac:dyDescent="0.2">
      <c r="C177" s="7"/>
      <c r="D177" s="7"/>
    </row>
    <row r="178" spans="1:6" x14ac:dyDescent="0.2">
      <c r="C178" s="7"/>
      <c r="D178" s="7"/>
    </row>
    <row r="179" spans="1:6" x14ac:dyDescent="0.2">
      <c r="A179" s="10" t="s">
        <v>293</v>
      </c>
      <c r="B179" s="10"/>
      <c r="C179" s="41" t="s">
        <v>102</v>
      </c>
      <c r="D179" s="41" t="s">
        <v>103</v>
      </c>
    </row>
    <row r="180" spans="1:6" x14ac:dyDescent="0.2">
      <c r="A180" s="2">
        <v>41820</v>
      </c>
      <c r="B180" s="1" t="s">
        <v>313</v>
      </c>
      <c r="C180" s="42">
        <f>D169</f>
        <v>575000</v>
      </c>
      <c r="D180" s="7"/>
    </row>
    <row r="181" spans="1:6" x14ac:dyDescent="0.2">
      <c r="A181" s="2">
        <v>42004</v>
      </c>
      <c r="B181" s="1" t="s">
        <v>317</v>
      </c>
      <c r="C181" s="42">
        <v>30000</v>
      </c>
      <c r="D181" s="7"/>
    </row>
    <row r="182" spans="1:6" x14ac:dyDescent="0.2">
      <c r="C182" s="7"/>
      <c r="D182" s="42">
        <v>5000</v>
      </c>
      <c r="E182" s="1" t="s">
        <v>318</v>
      </c>
      <c r="F182" s="2">
        <v>42004</v>
      </c>
    </row>
    <row r="183" spans="1:6" x14ac:dyDescent="0.2">
      <c r="B183" s="1" t="s">
        <v>314</v>
      </c>
      <c r="C183" s="43">
        <f>SUM(C180:C182)</f>
        <v>605000</v>
      </c>
      <c r="D183" s="43">
        <f>SUM(D180:D182)</f>
        <v>5000</v>
      </c>
    </row>
    <row r="184" spans="1:6" x14ac:dyDescent="0.2">
      <c r="B184" s="1" t="s">
        <v>315</v>
      </c>
      <c r="C184" s="45">
        <f>C183-D183</f>
        <v>600000</v>
      </c>
    </row>
    <row r="188" spans="1:6" x14ac:dyDescent="0.2">
      <c r="A188" s="10" t="s">
        <v>307</v>
      </c>
      <c r="B188" s="10"/>
      <c r="C188" s="41" t="s">
        <v>102</v>
      </c>
      <c r="D188" s="10" t="s">
        <v>103</v>
      </c>
    </row>
    <row r="189" spans="1:6" x14ac:dyDescent="0.2">
      <c r="A189" s="2">
        <v>42004</v>
      </c>
      <c r="B189" s="1" t="s">
        <v>318</v>
      </c>
      <c r="C189" s="45">
        <v>5000</v>
      </c>
    </row>
    <row r="197" spans="1:8" x14ac:dyDescent="0.2">
      <c r="A197" s="30" t="s">
        <v>319</v>
      </c>
      <c r="B197" s="30"/>
      <c r="C197" s="30"/>
      <c r="D197" s="30"/>
      <c r="E197" s="30"/>
      <c r="F197" s="30"/>
      <c r="G197" s="30"/>
      <c r="H197" s="30"/>
    </row>
    <row r="199" spans="1:8" x14ac:dyDescent="0.2">
      <c r="A199" s="1" t="s">
        <v>320</v>
      </c>
    </row>
    <row r="200" spans="1:8" x14ac:dyDescent="0.2">
      <c r="A200" s="1" t="s">
        <v>321</v>
      </c>
    </row>
    <row r="201" spans="1:8" x14ac:dyDescent="0.2">
      <c r="A201" s="1" t="s">
        <v>322</v>
      </c>
    </row>
    <row r="202" spans="1:8" x14ac:dyDescent="0.2">
      <c r="A202" s="1" t="s">
        <v>323</v>
      </c>
    </row>
    <row r="204" spans="1:8" x14ac:dyDescent="0.2">
      <c r="A204" s="3" t="s">
        <v>3357</v>
      </c>
      <c r="B204" s="3"/>
      <c r="C204" s="3"/>
    </row>
    <row r="205" spans="1:8" x14ac:dyDescent="0.2">
      <c r="A205" s="3"/>
      <c r="B205" s="3" t="s">
        <v>3358</v>
      </c>
      <c r="C205" s="3"/>
    </row>
    <row r="208" spans="1:8" x14ac:dyDescent="0.2">
      <c r="A208" s="4" t="s">
        <v>324</v>
      </c>
      <c r="B208" s="4"/>
      <c r="C208" s="4"/>
      <c r="D208" s="4"/>
      <c r="E208" s="4"/>
      <c r="F208" s="4"/>
      <c r="G208" s="4"/>
      <c r="H208" s="4"/>
    </row>
    <row r="209" spans="1:8" ht="17" thickBot="1" x14ac:dyDescent="0.25"/>
    <row r="210" spans="1:8" x14ac:dyDescent="0.2">
      <c r="A210" s="46" t="s">
        <v>325</v>
      </c>
      <c r="B210" s="32"/>
      <c r="C210" s="32"/>
      <c r="D210" s="32"/>
      <c r="E210" s="32"/>
      <c r="F210" s="32"/>
      <c r="G210" s="32"/>
      <c r="H210" s="33"/>
    </row>
    <row r="211" spans="1:8" x14ac:dyDescent="0.2">
      <c r="A211" s="34" t="s">
        <v>326</v>
      </c>
      <c r="H211" s="35"/>
    </row>
    <row r="212" spans="1:8" x14ac:dyDescent="0.2">
      <c r="A212" s="34" t="s">
        <v>327</v>
      </c>
      <c r="H212" s="35"/>
    </row>
    <row r="213" spans="1:8" x14ac:dyDescent="0.2">
      <c r="A213" s="34" t="s">
        <v>328</v>
      </c>
      <c r="H213" s="35"/>
    </row>
    <row r="214" spans="1:8" x14ac:dyDescent="0.2">
      <c r="A214" s="34" t="s">
        <v>329</v>
      </c>
      <c r="H214" s="35"/>
    </row>
    <row r="215" spans="1:8" x14ac:dyDescent="0.2">
      <c r="A215" s="34" t="s">
        <v>330</v>
      </c>
      <c r="H215" s="35"/>
    </row>
    <row r="216" spans="1:8" ht="17" thickBot="1" x14ac:dyDescent="0.25">
      <c r="A216" s="36" t="s">
        <v>331</v>
      </c>
      <c r="B216" s="37"/>
      <c r="C216" s="37"/>
      <c r="D216" s="37"/>
      <c r="E216" s="37"/>
      <c r="F216" s="37"/>
      <c r="G216" s="37"/>
      <c r="H216" s="38"/>
    </row>
    <row r="217" spans="1:8" x14ac:dyDescent="0.2">
      <c r="A217" s="47" t="s">
        <v>332</v>
      </c>
      <c r="B217" s="48"/>
      <c r="C217" s="48"/>
      <c r="D217" s="48"/>
      <c r="E217" s="48"/>
      <c r="F217" s="48"/>
      <c r="G217" s="48"/>
      <c r="H217" s="49"/>
    </row>
    <row r="218" spans="1:8" x14ac:dyDescent="0.2">
      <c r="A218" s="50" t="s">
        <v>333</v>
      </c>
      <c r="B218" s="21"/>
      <c r="C218" s="21"/>
      <c r="D218" s="21"/>
      <c r="E218" s="21"/>
      <c r="F218" s="21"/>
      <c r="G218" s="21"/>
      <c r="H218" s="51"/>
    </row>
    <row r="219" spans="1:8" x14ac:dyDescent="0.2">
      <c r="A219" s="50" t="s">
        <v>334</v>
      </c>
      <c r="B219" s="21"/>
      <c r="C219" s="21"/>
      <c r="D219" s="21"/>
      <c r="E219" s="21"/>
      <c r="F219" s="21"/>
      <c r="G219" s="21"/>
      <c r="H219" s="51"/>
    </row>
    <row r="220" spans="1:8" ht="17" thickBot="1" x14ac:dyDescent="0.25">
      <c r="A220" s="52" t="s">
        <v>335</v>
      </c>
      <c r="B220" s="53"/>
      <c r="C220" s="53"/>
      <c r="D220" s="53"/>
      <c r="E220" s="53"/>
      <c r="F220" s="53"/>
      <c r="G220" s="53"/>
      <c r="H220" s="54"/>
    </row>
    <row r="222" spans="1:8" x14ac:dyDescent="0.2">
      <c r="A222" s="1" t="s">
        <v>336</v>
      </c>
    </row>
    <row r="223" spans="1:8" x14ac:dyDescent="0.2">
      <c r="A223" s="1" t="s">
        <v>337</v>
      </c>
    </row>
    <row r="225" spans="1:5" x14ac:dyDescent="0.2">
      <c r="A225" s="10" t="s">
        <v>86</v>
      </c>
      <c r="B225" s="10" t="s">
        <v>338</v>
      </c>
      <c r="C225" s="10" t="s">
        <v>339</v>
      </c>
      <c r="D225" s="10" t="s">
        <v>340</v>
      </c>
      <c r="E225" s="10"/>
    </row>
    <row r="226" spans="1:5" x14ac:dyDescent="0.2">
      <c r="A226" s="2">
        <v>39447</v>
      </c>
      <c r="B226" s="11">
        <f>D226+C226</f>
        <v>1180000</v>
      </c>
      <c r="C226" s="11">
        <v>330000</v>
      </c>
      <c r="D226" s="11">
        <v>850000</v>
      </c>
    </row>
    <row r="227" spans="1:5" x14ac:dyDescent="0.2">
      <c r="A227" s="2">
        <v>39813</v>
      </c>
      <c r="B227" s="11">
        <f t="shared" ref="B227:B230" si="0">D227+C227</f>
        <v>1195000</v>
      </c>
      <c r="C227" s="11">
        <v>350000</v>
      </c>
      <c r="D227" s="11">
        <v>845000</v>
      </c>
    </row>
    <row r="228" spans="1:5" x14ac:dyDescent="0.2">
      <c r="A228" s="2">
        <v>39814</v>
      </c>
      <c r="B228" s="11">
        <f t="shared" si="0"/>
        <v>1195000</v>
      </c>
      <c r="C228" s="11">
        <v>350000</v>
      </c>
      <c r="D228" s="11">
        <v>845000</v>
      </c>
    </row>
    <row r="229" spans="1:5" x14ac:dyDescent="0.2">
      <c r="A229" s="2">
        <v>40178</v>
      </c>
      <c r="B229" s="11">
        <f t="shared" si="0"/>
        <v>1240000</v>
      </c>
      <c r="C229" s="11">
        <v>400000</v>
      </c>
      <c r="D229" s="11">
        <v>840000</v>
      </c>
    </row>
    <row r="230" spans="1:5" x14ac:dyDescent="0.2">
      <c r="A230" s="2">
        <v>40543</v>
      </c>
      <c r="B230" s="11">
        <f t="shared" si="0"/>
        <v>1200000</v>
      </c>
      <c r="C230" s="11">
        <v>380000</v>
      </c>
      <c r="D230" s="11">
        <v>820000</v>
      </c>
    </row>
    <row r="232" spans="1:5" x14ac:dyDescent="0.2">
      <c r="A232" s="1" t="s">
        <v>88</v>
      </c>
    </row>
    <row r="233" spans="1:5" x14ac:dyDescent="0.2">
      <c r="A233" s="1" t="s">
        <v>341</v>
      </c>
    </row>
    <row r="234" spans="1:5" x14ac:dyDescent="0.2">
      <c r="A234" s="1" t="s">
        <v>342</v>
      </c>
    </row>
    <row r="235" spans="1:5" x14ac:dyDescent="0.2">
      <c r="A235" s="1" t="s">
        <v>343</v>
      </c>
    </row>
    <row r="236" spans="1:5" x14ac:dyDescent="0.2">
      <c r="A236" s="1" t="s">
        <v>344</v>
      </c>
    </row>
    <row r="237" spans="1:5" x14ac:dyDescent="0.2">
      <c r="A237" s="1" t="s">
        <v>345</v>
      </c>
    </row>
    <row r="238" spans="1:5" x14ac:dyDescent="0.2">
      <c r="A238" s="1" t="s">
        <v>346</v>
      </c>
    </row>
    <row r="240" spans="1:5" x14ac:dyDescent="0.2">
      <c r="A240" s="3" t="s">
        <v>347</v>
      </c>
    </row>
    <row r="241" spans="1:8" x14ac:dyDescent="0.2">
      <c r="A241" s="3" t="s">
        <v>348</v>
      </c>
    </row>
    <row r="242" spans="1:8" x14ac:dyDescent="0.2">
      <c r="A242" s="3" t="s">
        <v>349</v>
      </c>
    </row>
    <row r="244" spans="1:8" x14ac:dyDescent="0.2">
      <c r="A244" s="4" t="s">
        <v>350</v>
      </c>
      <c r="B244" s="4"/>
      <c r="C244" s="4"/>
      <c r="D244" s="4"/>
      <c r="E244" s="4"/>
      <c r="F244" s="4"/>
      <c r="G244" s="4"/>
      <c r="H244" s="4"/>
    </row>
    <row r="246" spans="1:8" x14ac:dyDescent="0.2">
      <c r="A246" s="1" t="s">
        <v>351</v>
      </c>
    </row>
    <row r="247" spans="1:8" x14ac:dyDescent="0.2">
      <c r="A247" s="1" t="s">
        <v>352</v>
      </c>
    </row>
    <row r="248" spans="1:8" x14ac:dyDescent="0.2">
      <c r="A248" s="1" t="s">
        <v>2778</v>
      </c>
    </row>
    <row r="250" spans="1:8" x14ac:dyDescent="0.2">
      <c r="D250" s="1" t="s">
        <v>353</v>
      </c>
    </row>
    <row r="256" spans="1:8" x14ac:dyDescent="0.2">
      <c r="A256" s="1" t="s">
        <v>354</v>
      </c>
    </row>
    <row r="257" spans="1:7" x14ac:dyDescent="0.2">
      <c r="A257" s="1" t="s">
        <v>355</v>
      </c>
    </row>
    <row r="260" spans="1:7" x14ac:dyDescent="0.2">
      <c r="F260" s="1" t="s">
        <v>356</v>
      </c>
    </row>
    <row r="261" spans="1:7" x14ac:dyDescent="0.2">
      <c r="F261" s="1" t="s">
        <v>357</v>
      </c>
    </row>
    <row r="262" spans="1:7" x14ac:dyDescent="0.2">
      <c r="C262" s="10"/>
      <c r="D262" s="10"/>
      <c r="E262" s="10"/>
      <c r="G262" s="11">
        <v>600000</v>
      </c>
    </row>
    <row r="263" spans="1:7" x14ac:dyDescent="0.2">
      <c r="C263" s="334" t="s">
        <v>20</v>
      </c>
      <c r="D263" s="334"/>
      <c r="E263" s="334"/>
    </row>
    <row r="264" spans="1:7" x14ac:dyDescent="0.2">
      <c r="C264" s="331" t="s">
        <v>358</v>
      </c>
      <c r="D264" s="331"/>
      <c r="E264" s="331"/>
    </row>
    <row r="265" spans="1:7" x14ac:dyDescent="0.2">
      <c r="C265" s="331" t="s">
        <v>359</v>
      </c>
      <c r="D265" s="331"/>
      <c r="E265" s="331"/>
    </row>
    <row r="266" spans="1:7" ht="17" thickBot="1" x14ac:dyDescent="0.25"/>
    <row r="267" spans="1:7" x14ac:dyDescent="0.2">
      <c r="B267" s="46" t="s">
        <v>360</v>
      </c>
      <c r="C267" s="32"/>
      <c r="D267" s="32"/>
      <c r="E267" s="33"/>
    </row>
    <row r="268" spans="1:7" x14ac:dyDescent="0.2">
      <c r="B268" s="34" t="s">
        <v>361</v>
      </c>
      <c r="E268" s="35"/>
    </row>
    <row r="269" spans="1:7" x14ac:dyDescent="0.2">
      <c r="B269" s="34" t="s">
        <v>362</v>
      </c>
      <c r="E269" s="35"/>
    </row>
    <row r="270" spans="1:7" x14ac:dyDescent="0.2">
      <c r="B270" s="34" t="s">
        <v>363</v>
      </c>
      <c r="E270" s="35"/>
    </row>
    <row r="271" spans="1:7" x14ac:dyDescent="0.2">
      <c r="B271" s="34" t="s">
        <v>364</v>
      </c>
      <c r="E271" s="35"/>
    </row>
    <row r="272" spans="1:7" ht="17" thickBot="1" x14ac:dyDescent="0.25">
      <c r="B272" s="36" t="s">
        <v>365</v>
      </c>
      <c r="C272" s="37"/>
      <c r="D272" s="37"/>
      <c r="E272" s="38"/>
    </row>
    <row r="274" spans="1:8" ht="17" thickBot="1" x14ac:dyDescent="0.25"/>
    <row r="275" spans="1:8" ht="17" thickBot="1" x14ac:dyDescent="0.25">
      <c r="F275" s="335" t="s">
        <v>366</v>
      </c>
      <c r="G275" s="336"/>
    </row>
    <row r="277" spans="1:8" x14ac:dyDescent="0.2">
      <c r="A277" s="55">
        <v>39083</v>
      </c>
      <c r="B277" s="56" t="s">
        <v>367</v>
      </c>
      <c r="C277" s="56"/>
      <c r="D277" s="56"/>
      <c r="E277" s="56"/>
      <c r="F277" s="56"/>
      <c r="G277" s="56"/>
      <c r="H277" s="56"/>
    </row>
    <row r="279" spans="1:8" x14ac:dyDescent="0.2">
      <c r="B279" s="1" t="s">
        <v>368</v>
      </c>
    </row>
    <row r="280" spans="1:8" x14ac:dyDescent="0.2">
      <c r="D280" s="1" t="s">
        <v>34</v>
      </c>
      <c r="E280" s="11">
        <v>600000</v>
      </c>
      <c r="F280" s="1" t="s">
        <v>369</v>
      </c>
    </row>
    <row r="281" spans="1:8" x14ac:dyDescent="0.2">
      <c r="D281" s="1" t="s">
        <v>20</v>
      </c>
      <c r="E281" s="11">
        <v>300000</v>
      </c>
      <c r="G281" s="1" t="s">
        <v>370</v>
      </c>
    </row>
    <row r="282" spans="1:8" ht="17" thickBot="1" x14ac:dyDescent="0.25">
      <c r="D282" s="1" t="s">
        <v>371</v>
      </c>
      <c r="E282" s="11">
        <v>100000</v>
      </c>
      <c r="G282" s="1" t="s">
        <v>372</v>
      </c>
    </row>
    <row r="283" spans="1:8" ht="17" thickBot="1" x14ac:dyDescent="0.25">
      <c r="D283" s="1" t="s">
        <v>373</v>
      </c>
      <c r="E283" s="40">
        <f>SUM(E280:E282)</f>
        <v>1000000</v>
      </c>
    </row>
    <row r="285" spans="1:8" x14ac:dyDescent="0.2">
      <c r="B285" s="1" t="s">
        <v>374</v>
      </c>
      <c r="E285" s="11">
        <v>150000</v>
      </c>
    </row>
    <row r="287" spans="1:8" x14ac:dyDescent="0.2">
      <c r="A287" s="280">
        <v>39447</v>
      </c>
      <c r="B287" s="281" t="s">
        <v>375</v>
      </c>
      <c r="C287" s="281"/>
      <c r="D287" s="281"/>
      <c r="E287" s="281"/>
      <c r="F287" s="281"/>
      <c r="G287" s="56"/>
      <c r="H287" s="56"/>
    </row>
    <row r="289" spans="1:8" x14ac:dyDescent="0.2">
      <c r="B289" s="1" t="s">
        <v>2779</v>
      </c>
    </row>
    <row r="290" spans="1:8" x14ac:dyDescent="0.2">
      <c r="B290" s="1" t="s">
        <v>2780</v>
      </c>
    </row>
    <row r="292" spans="1:8" x14ac:dyDescent="0.2">
      <c r="B292" s="1" t="s">
        <v>376</v>
      </c>
    </row>
    <row r="293" spans="1:8" x14ac:dyDescent="0.2">
      <c r="B293" s="1" t="s">
        <v>34</v>
      </c>
      <c r="C293" s="1">
        <v>25</v>
      </c>
      <c r="D293" s="1" t="s">
        <v>377</v>
      </c>
    </row>
    <row r="294" spans="1:8" x14ac:dyDescent="0.2">
      <c r="B294" s="1" t="s">
        <v>371</v>
      </c>
      <c r="C294" s="1">
        <v>10</v>
      </c>
      <c r="D294" s="1" t="s">
        <v>377</v>
      </c>
    </row>
    <row r="295" spans="1:8" x14ac:dyDescent="0.2">
      <c r="B295" s="1" t="s">
        <v>20</v>
      </c>
      <c r="C295" s="1" t="s">
        <v>378</v>
      </c>
    </row>
    <row r="297" spans="1:8" x14ac:dyDescent="0.2">
      <c r="A297" s="1" t="s">
        <v>2781</v>
      </c>
      <c r="B297" s="1" t="s">
        <v>379</v>
      </c>
      <c r="C297" s="1">
        <v>8</v>
      </c>
      <c r="D297" s="1" t="s">
        <v>377</v>
      </c>
    </row>
    <row r="299" spans="1:8" x14ac:dyDescent="0.2">
      <c r="B299" s="1" t="s">
        <v>380</v>
      </c>
    </row>
    <row r="300" spans="1:8" x14ac:dyDescent="0.2">
      <c r="E300" s="14">
        <v>39447</v>
      </c>
    </row>
    <row r="301" spans="1:8" x14ac:dyDescent="0.2">
      <c r="A301" s="1" t="s">
        <v>3360</v>
      </c>
      <c r="B301" s="331" t="s">
        <v>3359</v>
      </c>
      <c r="C301" s="331"/>
      <c r="D301" s="1" t="s">
        <v>34</v>
      </c>
      <c r="E301" s="11">
        <f>600000*24/25</f>
        <v>576000</v>
      </c>
      <c r="H301" s="1" t="s">
        <v>381</v>
      </c>
    </row>
    <row r="302" spans="1:8" x14ac:dyDescent="0.2">
      <c r="D302" s="1" t="s">
        <v>20</v>
      </c>
      <c r="E302" s="11">
        <v>300000</v>
      </c>
      <c r="F302" s="1" t="s">
        <v>3361</v>
      </c>
    </row>
    <row r="303" spans="1:8" ht="17" thickBot="1" x14ac:dyDescent="0.25">
      <c r="A303" s="1" t="s">
        <v>3360</v>
      </c>
      <c r="B303" s="331" t="s">
        <v>3362</v>
      </c>
      <c r="C303" s="331"/>
      <c r="D303" s="1" t="s">
        <v>371</v>
      </c>
      <c r="E303" s="11">
        <f>100000*9/10</f>
        <v>90000</v>
      </c>
      <c r="H303" s="1" t="s">
        <v>382</v>
      </c>
    </row>
    <row r="304" spans="1:8" ht="17" thickBot="1" x14ac:dyDescent="0.25">
      <c r="D304" s="3" t="s">
        <v>373</v>
      </c>
      <c r="E304" s="279">
        <f>SUM(E301:E303)</f>
        <v>966000</v>
      </c>
    </row>
    <row r="306" spans="1:8" x14ac:dyDescent="0.2">
      <c r="B306" s="1" t="s">
        <v>383</v>
      </c>
      <c r="E306" s="11">
        <f>150000*7/8</f>
        <v>131250</v>
      </c>
      <c r="H306" s="1" t="s">
        <v>384</v>
      </c>
    </row>
    <row r="307" spans="1:8" x14ac:dyDescent="0.2">
      <c r="E307" s="11"/>
    </row>
    <row r="308" spans="1:8" x14ac:dyDescent="0.2">
      <c r="A308" s="3" t="s">
        <v>385</v>
      </c>
      <c r="E308" s="11"/>
    </row>
    <row r="309" spans="1:8" x14ac:dyDescent="0.2">
      <c r="A309" s="1" t="s">
        <v>386</v>
      </c>
      <c r="E309" s="11"/>
    </row>
    <row r="310" spans="1:8" x14ac:dyDescent="0.2">
      <c r="B310" s="1" t="s">
        <v>3363</v>
      </c>
      <c r="E310" s="11">
        <f>600000/25</f>
        <v>24000</v>
      </c>
      <c r="H310" s="1" t="s">
        <v>3367</v>
      </c>
    </row>
    <row r="311" spans="1:8" ht="17" thickBot="1" x14ac:dyDescent="0.25">
      <c r="B311" s="1" t="s">
        <v>3364</v>
      </c>
      <c r="E311" s="11">
        <f>100000/10</f>
        <v>10000</v>
      </c>
      <c r="H311" s="1" t="s">
        <v>3368</v>
      </c>
    </row>
    <row r="312" spans="1:8" ht="17" thickBot="1" x14ac:dyDescent="0.25">
      <c r="B312" s="1" t="s">
        <v>3365</v>
      </c>
      <c r="E312" s="279">
        <f>E310+E311</f>
        <v>34000</v>
      </c>
    </row>
    <row r="313" spans="1:8" x14ac:dyDescent="0.2">
      <c r="E313" s="11"/>
    </row>
    <row r="314" spans="1:8" x14ac:dyDescent="0.2">
      <c r="B314" s="1" t="s">
        <v>3366</v>
      </c>
      <c r="E314" s="11">
        <f>150000/8</f>
        <v>18750</v>
      </c>
      <c r="H314" s="1" t="s">
        <v>3369</v>
      </c>
    </row>
    <row r="315" spans="1:8" ht="17" thickBot="1" x14ac:dyDescent="0.25">
      <c r="E315" s="11"/>
    </row>
    <row r="316" spans="1:8" x14ac:dyDescent="0.2">
      <c r="A316" s="31" t="s">
        <v>3370</v>
      </c>
      <c r="B316" s="32"/>
      <c r="C316" s="32"/>
      <c r="D316" s="32"/>
      <c r="E316" s="282"/>
      <c r="F316" s="32"/>
      <c r="G316" s="32"/>
      <c r="H316" s="33"/>
    </row>
    <row r="317" spans="1:8" x14ac:dyDescent="0.2">
      <c r="A317" s="34"/>
      <c r="D317" s="284">
        <v>39447</v>
      </c>
      <c r="E317" s="11"/>
      <c r="H317" s="35"/>
    </row>
    <row r="318" spans="1:8" x14ac:dyDescent="0.2">
      <c r="A318" s="34"/>
      <c r="B318" s="1" t="s">
        <v>3371</v>
      </c>
      <c r="D318" s="109">
        <f>E283</f>
        <v>1000000</v>
      </c>
      <c r="E318" s="11"/>
      <c r="H318" s="35"/>
    </row>
    <row r="319" spans="1:8" x14ac:dyDescent="0.2">
      <c r="A319" s="34"/>
      <c r="B319" s="1" t="s">
        <v>3372</v>
      </c>
      <c r="D319" s="109">
        <f>-D322</f>
        <v>-34000</v>
      </c>
      <c r="E319" s="11"/>
      <c r="H319" s="35"/>
    </row>
    <row r="320" spans="1:8" x14ac:dyDescent="0.2">
      <c r="A320" s="34"/>
      <c r="B320" s="1" t="s">
        <v>120</v>
      </c>
      <c r="D320" s="111">
        <f>D318+D319</f>
        <v>966000</v>
      </c>
      <c r="E320" s="11"/>
      <c r="H320" s="35"/>
    </row>
    <row r="321" spans="1:8" x14ac:dyDescent="0.2">
      <c r="A321" s="34"/>
      <c r="D321" s="109"/>
      <c r="E321" s="11"/>
      <c r="H321" s="35"/>
    </row>
    <row r="322" spans="1:8" ht="17" thickBot="1" x14ac:dyDescent="0.25">
      <c r="A322" s="36"/>
      <c r="B322" s="37" t="s">
        <v>3373</v>
      </c>
      <c r="C322" s="37"/>
      <c r="D322" s="283">
        <f>E312</f>
        <v>34000</v>
      </c>
      <c r="E322" s="222"/>
      <c r="F322" s="37"/>
      <c r="G322" s="37"/>
      <c r="H322" s="38"/>
    </row>
    <row r="323" spans="1:8" x14ac:dyDescent="0.2">
      <c r="E323" s="11"/>
    </row>
    <row r="324" spans="1:8" x14ac:dyDescent="0.2">
      <c r="A324" s="280">
        <v>39813</v>
      </c>
      <c r="B324" s="281" t="s">
        <v>375</v>
      </c>
      <c r="C324" s="281"/>
      <c r="D324" s="281"/>
      <c r="E324" s="281"/>
      <c r="F324" s="281"/>
      <c r="G324" s="281"/>
      <c r="H324" s="281"/>
    </row>
    <row r="326" spans="1:8" x14ac:dyDescent="0.2">
      <c r="B326" s="1" t="s">
        <v>387</v>
      </c>
    </row>
    <row r="327" spans="1:8" x14ac:dyDescent="0.2">
      <c r="B327" s="1" t="s">
        <v>388</v>
      </c>
    </row>
    <row r="329" spans="1:8" x14ac:dyDescent="0.2">
      <c r="B329" s="1" t="s">
        <v>376</v>
      </c>
    </row>
    <row r="330" spans="1:8" x14ac:dyDescent="0.2">
      <c r="B330" s="1" t="s">
        <v>34</v>
      </c>
      <c r="C330" s="1">
        <v>25</v>
      </c>
      <c r="D330" s="1" t="s">
        <v>377</v>
      </c>
    </row>
    <row r="331" spans="1:8" x14ac:dyDescent="0.2">
      <c r="B331" s="1" t="s">
        <v>371</v>
      </c>
      <c r="C331" s="1">
        <v>10</v>
      </c>
      <c r="D331" s="1" t="s">
        <v>377</v>
      </c>
    </row>
    <row r="332" spans="1:8" x14ac:dyDescent="0.2">
      <c r="B332" s="1" t="s">
        <v>20</v>
      </c>
      <c r="C332" s="1" t="s">
        <v>378</v>
      </c>
    </row>
    <row r="334" spans="1:8" x14ac:dyDescent="0.2">
      <c r="B334" s="1" t="s">
        <v>379</v>
      </c>
      <c r="C334" s="1">
        <v>8</v>
      </c>
      <c r="D334" s="1" t="s">
        <v>377</v>
      </c>
    </row>
    <row r="335" spans="1:8" ht="17" thickBot="1" x14ac:dyDescent="0.25"/>
    <row r="336" spans="1:8" x14ac:dyDescent="0.2">
      <c r="B336" s="46" t="s">
        <v>380</v>
      </c>
      <c r="C336" s="32"/>
      <c r="D336" s="32"/>
      <c r="E336" s="32"/>
      <c r="F336" s="32"/>
      <c r="G336" s="32"/>
      <c r="H336" s="33"/>
    </row>
    <row r="337" spans="1:8" x14ac:dyDescent="0.2">
      <c r="B337" s="34"/>
      <c r="E337" s="14">
        <v>39813</v>
      </c>
      <c r="H337" s="35"/>
    </row>
    <row r="338" spans="1:8" x14ac:dyDescent="0.2">
      <c r="B338" s="34"/>
      <c r="D338" s="1" t="s">
        <v>34</v>
      </c>
      <c r="E338" s="11">
        <f>600000*23/25</f>
        <v>552000</v>
      </c>
      <c r="H338" s="35" t="s">
        <v>389</v>
      </c>
    </row>
    <row r="339" spans="1:8" x14ac:dyDescent="0.2">
      <c r="B339" s="34"/>
      <c r="D339" s="1" t="s">
        <v>20</v>
      </c>
      <c r="E339" s="11">
        <v>300000</v>
      </c>
      <c r="H339" s="35"/>
    </row>
    <row r="340" spans="1:8" ht="17" thickBot="1" x14ac:dyDescent="0.25">
      <c r="B340" s="34"/>
      <c r="D340" s="1" t="s">
        <v>371</v>
      </c>
      <c r="E340" s="11">
        <f>100000*8/10</f>
        <v>80000</v>
      </c>
      <c r="H340" s="35" t="s">
        <v>390</v>
      </c>
    </row>
    <row r="341" spans="1:8" ht="17" thickBot="1" x14ac:dyDescent="0.25">
      <c r="B341" s="34"/>
      <c r="D341" s="1" t="s">
        <v>373</v>
      </c>
      <c r="E341" s="40">
        <f>SUM(E338:E340)</f>
        <v>932000</v>
      </c>
      <c r="H341" s="35"/>
    </row>
    <row r="342" spans="1:8" x14ac:dyDescent="0.2">
      <c r="B342" s="34"/>
      <c r="H342" s="35"/>
    </row>
    <row r="343" spans="1:8" x14ac:dyDescent="0.2">
      <c r="B343" s="34" t="s">
        <v>383</v>
      </c>
      <c r="E343" s="11">
        <f>150000*6/8</f>
        <v>112500</v>
      </c>
      <c r="H343" s="35" t="s">
        <v>391</v>
      </c>
    </row>
    <row r="344" spans="1:8" x14ac:dyDescent="0.2">
      <c r="B344" s="34"/>
      <c r="H344" s="35"/>
    </row>
    <row r="345" spans="1:8" x14ac:dyDescent="0.2">
      <c r="B345" s="34" t="s">
        <v>385</v>
      </c>
      <c r="H345" s="35"/>
    </row>
    <row r="346" spans="1:8" x14ac:dyDescent="0.2">
      <c r="B346" s="34" t="s">
        <v>3374</v>
      </c>
      <c r="C346" s="1" t="s">
        <v>3375</v>
      </c>
      <c r="E346" s="17">
        <f>600000/25</f>
        <v>24000</v>
      </c>
      <c r="H346" s="35" t="s">
        <v>3367</v>
      </c>
    </row>
    <row r="347" spans="1:8" ht="17" thickBot="1" x14ac:dyDescent="0.25">
      <c r="B347" s="34"/>
      <c r="C347" s="1" t="s">
        <v>3376</v>
      </c>
      <c r="E347" s="17">
        <f>100000/10</f>
        <v>10000</v>
      </c>
      <c r="H347" s="35" t="s">
        <v>3368</v>
      </c>
    </row>
    <row r="348" spans="1:8" ht="17" thickBot="1" x14ac:dyDescent="0.25">
      <c r="B348" s="34"/>
      <c r="C348" s="1" t="s">
        <v>3377</v>
      </c>
      <c r="E348" s="119">
        <f>E346+E347</f>
        <v>34000</v>
      </c>
      <c r="H348" s="35"/>
    </row>
    <row r="349" spans="1:8" x14ac:dyDescent="0.2">
      <c r="B349" s="34"/>
      <c r="E349" s="17"/>
      <c r="H349" s="35"/>
    </row>
    <row r="350" spans="1:8" ht="17" thickBot="1" x14ac:dyDescent="0.25">
      <c r="B350" s="36" t="s">
        <v>3378</v>
      </c>
      <c r="C350" s="37"/>
      <c r="D350" s="37"/>
      <c r="E350" s="285">
        <f>150000/8</f>
        <v>18750</v>
      </c>
      <c r="F350" s="37"/>
      <c r="G350" s="37"/>
      <c r="H350" s="38" t="s">
        <v>3369</v>
      </c>
    </row>
    <row r="351" spans="1:8" ht="17" thickBot="1" x14ac:dyDescent="0.25"/>
    <row r="352" spans="1:8" x14ac:dyDescent="0.2">
      <c r="A352" s="31" t="s">
        <v>3370</v>
      </c>
      <c r="B352" s="32"/>
      <c r="C352" s="32"/>
      <c r="D352" s="32"/>
      <c r="E352" s="282"/>
      <c r="F352" s="32"/>
      <c r="G352" s="32"/>
      <c r="H352" s="33"/>
    </row>
    <row r="353" spans="1:8" x14ac:dyDescent="0.2">
      <c r="A353" s="34"/>
      <c r="D353" s="284">
        <v>39447</v>
      </c>
      <c r="E353" s="284">
        <v>39813</v>
      </c>
      <c r="H353" s="35"/>
    </row>
    <row r="354" spans="1:8" x14ac:dyDescent="0.2">
      <c r="A354" s="34"/>
      <c r="B354" s="1" t="s">
        <v>3371</v>
      </c>
      <c r="D354" s="109">
        <f>D318</f>
        <v>1000000</v>
      </c>
      <c r="E354" s="109">
        <f>D354</f>
        <v>1000000</v>
      </c>
      <c r="H354" s="35"/>
    </row>
    <row r="355" spans="1:8" x14ac:dyDescent="0.2">
      <c r="A355" s="34"/>
      <c r="B355" s="1" t="s">
        <v>3372</v>
      </c>
      <c r="D355" s="109">
        <f>-D358</f>
        <v>-34000</v>
      </c>
      <c r="E355" s="109">
        <f>D355-E358</f>
        <v>-68000</v>
      </c>
      <c r="H355" s="35"/>
    </row>
    <row r="356" spans="1:8" x14ac:dyDescent="0.2">
      <c r="A356" s="34"/>
      <c r="B356" s="1" t="s">
        <v>120</v>
      </c>
      <c r="D356" s="111">
        <f>D354+D355</f>
        <v>966000</v>
      </c>
      <c r="E356" s="111">
        <f>E354+E355</f>
        <v>932000</v>
      </c>
      <c r="H356" s="35"/>
    </row>
    <row r="357" spans="1:8" x14ac:dyDescent="0.2">
      <c r="A357" s="34"/>
      <c r="D357" s="109"/>
      <c r="E357" s="109"/>
      <c r="H357" s="35"/>
    </row>
    <row r="358" spans="1:8" ht="17" thickBot="1" x14ac:dyDescent="0.25">
      <c r="A358" s="36"/>
      <c r="B358" s="37" t="s">
        <v>3373</v>
      </c>
      <c r="C358" s="37"/>
      <c r="D358" s="283">
        <f>E348</f>
        <v>34000</v>
      </c>
      <c r="E358" s="283">
        <f>D358</f>
        <v>34000</v>
      </c>
      <c r="F358" s="37"/>
      <c r="G358" s="37"/>
      <c r="H358" s="38"/>
    </row>
    <row r="360" spans="1:8" x14ac:dyDescent="0.2">
      <c r="A360" s="55">
        <v>39814</v>
      </c>
      <c r="B360" s="56" t="s">
        <v>313</v>
      </c>
      <c r="C360" s="56"/>
      <c r="D360" s="56"/>
      <c r="E360" s="56"/>
      <c r="F360" s="56"/>
      <c r="G360" s="56"/>
      <c r="H360" s="56"/>
    </row>
    <row r="362" spans="1:8" x14ac:dyDescent="0.2">
      <c r="A362" s="1" t="s">
        <v>392</v>
      </c>
    </row>
    <row r="363" spans="1:8" x14ac:dyDescent="0.2">
      <c r="A363" s="1" t="s">
        <v>393</v>
      </c>
    </row>
    <row r="364" spans="1:8" x14ac:dyDescent="0.2">
      <c r="A364" s="1" t="s">
        <v>394</v>
      </c>
    </row>
    <row r="365" spans="1:8" x14ac:dyDescent="0.2">
      <c r="A365" s="1" t="s">
        <v>395</v>
      </c>
    </row>
    <row r="367" spans="1:8" x14ac:dyDescent="0.2">
      <c r="A367" s="1" t="s">
        <v>2782</v>
      </c>
    </row>
    <row r="369" spans="1:11" x14ac:dyDescent="0.2">
      <c r="A369" s="1" t="s">
        <v>396</v>
      </c>
    </row>
    <row r="371" spans="1:11" x14ac:dyDescent="0.2">
      <c r="A371" s="21" t="s">
        <v>397</v>
      </c>
      <c r="B371" s="21"/>
      <c r="C371" s="21"/>
      <c r="D371" s="21"/>
      <c r="E371" s="21"/>
      <c r="F371" s="21"/>
      <c r="G371" s="21"/>
      <c r="H371" s="21"/>
    </row>
    <row r="372" spans="1:11" x14ac:dyDescent="0.2">
      <c r="A372" s="21" t="s">
        <v>436</v>
      </c>
      <c r="B372" s="21"/>
      <c r="C372" s="21"/>
      <c r="D372" s="21"/>
      <c r="E372" s="21"/>
      <c r="F372" s="21"/>
      <c r="G372" s="21"/>
      <c r="H372" s="21"/>
    </row>
    <row r="373" spans="1:11" x14ac:dyDescent="0.2">
      <c r="A373" s="21"/>
      <c r="B373" s="21"/>
      <c r="C373" s="21"/>
      <c r="D373" s="21"/>
      <c r="E373" s="21"/>
      <c r="F373" s="21"/>
      <c r="G373" s="21"/>
      <c r="H373" s="21"/>
    </row>
    <row r="375" spans="1:11" x14ac:dyDescent="0.2">
      <c r="B375" s="1" t="s">
        <v>398</v>
      </c>
      <c r="E375" s="1" t="s">
        <v>399</v>
      </c>
    </row>
    <row r="376" spans="1:11" x14ac:dyDescent="0.2">
      <c r="B376" s="3" t="s">
        <v>400</v>
      </c>
    </row>
    <row r="377" spans="1:11" x14ac:dyDescent="0.2">
      <c r="B377" s="1" t="s">
        <v>2783</v>
      </c>
      <c r="G377" s="1" t="s">
        <v>401</v>
      </c>
    </row>
    <row r="378" spans="1:11" x14ac:dyDescent="0.2">
      <c r="B378" s="14">
        <v>39814</v>
      </c>
      <c r="G378" s="14">
        <v>39814</v>
      </c>
    </row>
    <row r="379" spans="1:11" x14ac:dyDescent="0.2">
      <c r="A379" s="62" t="s">
        <v>34</v>
      </c>
      <c r="B379" s="60">
        <f>600000*23/25*50%</f>
        <v>276000</v>
      </c>
      <c r="C379" s="62"/>
      <c r="D379" s="62" t="s">
        <v>402</v>
      </c>
      <c r="E379" s="62"/>
      <c r="F379" s="62" t="s">
        <v>34</v>
      </c>
      <c r="G379" s="60">
        <f>600000*23/25*50%</f>
        <v>276000</v>
      </c>
      <c r="H379" s="59"/>
      <c r="I379" s="59"/>
      <c r="J379" s="59"/>
      <c r="K379" s="59"/>
    </row>
    <row r="380" spans="1:11" x14ac:dyDescent="0.2">
      <c r="A380" s="62" t="s">
        <v>20</v>
      </c>
      <c r="B380" s="60">
        <f>150000</f>
        <v>150000</v>
      </c>
      <c r="C380" s="62"/>
      <c r="D380" s="62" t="s">
        <v>403</v>
      </c>
      <c r="E380" s="62"/>
      <c r="F380" s="62" t="s">
        <v>20</v>
      </c>
      <c r="G380" s="60">
        <f>150000</f>
        <v>150000</v>
      </c>
      <c r="H380" s="59"/>
      <c r="I380" s="59"/>
      <c r="J380" s="59"/>
      <c r="K380" s="59"/>
    </row>
    <row r="381" spans="1:11" ht="17" thickBot="1" x14ac:dyDescent="0.25">
      <c r="A381" s="62" t="s">
        <v>371</v>
      </c>
      <c r="B381" s="60">
        <v>40000</v>
      </c>
      <c r="C381" s="62"/>
      <c r="D381" s="62" t="s">
        <v>404</v>
      </c>
      <c r="E381" s="62"/>
      <c r="F381" s="62" t="s">
        <v>371</v>
      </c>
      <c r="G381" s="60">
        <v>40000</v>
      </c>
      <c r="H381" s="59"/>
      <c r="I381" s="59" t="s">
        <v>2784</v>
      </c>
      <c r="J381" s="59"/>
      <c r="K381" s="59"/>
    </row>
    <row r="382" spans="1:11" ht="17" thickBot="1" x14ac:dyDescent="0.25">
      <c r="A382" s="62" t="s">
        <v>373</v>
      </c>
      <c r="B382" s="61">
        <f>SUM(B379:B381)</f>
        <v>466000</v>
      </c>
      <c r="C382" s="62"/>
      <c r="D382" s="62"/>
      <c r="E382" s="62"/>
      <c r="F382" s="62" t="s">
        <v>373</v>
      </c>
      <c r="G382" s="61">
        <f>SUM(G379:G381)</f>
        <v>466000</v>
      </c>
      <c r="H382" s="59"/>
      <c r="I382" s="62" t="s">
        <v>2785</v>
      </c>
      <c r="J382" s="62"/>
      <c r="K382" s="62"/>
    </row>
    <row r="383" spans="1:11" x14ac:dyDescent="0.2">
      <c r="B383" s="59"/>
      <c r="C383" s="59"/>
      <c r="D383" s="59"/>
      <c r="E383" s="59"/>
      <c r="F383" s="59"/>
      <c r="G383" s="59"/>
      <c r="H383" s="59"/>
      <c r="I383" s="59"/>
      <c r="J383" s="59"/>
      <c r="K383" s="59"/>
    </row>
    <row r="384" spans="1:11" x14ac:dyDescent="0.2">
      <c r="A384" s="1" t="s">
        <v>405</v>
      </c>
      <c r="B384" s="58">
        <f>E343</f>
        <v>112500</v>
      </c>
      <c r="C384" s="1" t="s">
        <v>406</v>
      </c>
      <c r="E384" s="62"/>
      <c r="F384" s="62" t="s">
        <v>2786</v>
      </c>
      <c r="G384" s="60">
        <f>1195000*50%</f>
        <v>597500</v>
      </c>
      <c r="H384" s="62"/>
      <c r="I384" s="62" t="s">
        <v>407</v>
      </c>
      <c r="J384" s="59"/>
    </row>
    <row r="385" spans="1:11" x14ac:dyDescent="0.2">
      <c r="C385" s="1" t="s">
        <v>408</v>
      </c>
      <c r="F385" s="59"/>
      <c r="G385" s="59"/>
      <c r="H385" s="59"/>
      <c r="I385" s="59"/>
      <c r="J385" s="59"/>
    </row>
    <row r="386" spans="1:11" s="62" customFormat="1" x14ac:dyDescent="0.2"/>
    <row r="387" spans="1:11" s="62" customFormat="1" x14ac:dyDescent="0.2">
      <c r="F387" s="62" t="s">
        <v>409</v>
      </c>
      <c r="G387" s="286">
        <f>G384-G382</f>
        <v>131500</v>
      </c>
      <c r="I387" s="62" t="s">
        <v>410</v>
      </c>
      <c r="J387" s="62" t="s">
        <v>1456</v>
      </c>
    </row>
    <row r="388" spans="1:11" s="62" customFormat="1" x14ac:dyDescent="0.2">
      <c r="F388" s="62" t="s">
        <v>2787</v>
      </c>
    </row>
    <row r="390" spans="1:11" x14ac:dyDescent="0.2">
      <c r="A390" s="1" t="s">
        <v>3379</v>
      </c>
    </row>
    <row r="391" spans="1:11" ht="17" thickBot="1" x14ac:dyDescent="0.25"/>
    <row r="392" spans="1:11" x14ac:dyDescent="0.2">
      <c r="A392" s="31" t="s">
        <v>3380</v>
      </c>
      <c r="B392" s="32"/>
      <c r="C392" s="32"/>
      <c r="D392" s="32"/>
      <c r="E392" s="282"/>
      <c r="F392" s="287" t="s">
        <v>3381</v>
      </c>
      <c r="G392" s="288" t="s">
        <v>3382</v>
      </c>
      <c r="I392" s="31" t="s">
        <v>3383</v>
      </c>
      <c r="J392" s="32"/>
      <c r="K392" s="33"/>
    </row>
    <row r="393" spans="1:11" x14ac:dyDescent="0.2">
      <c r="A393" s="34"/>
      <c r="D393" s="290">
        <v>39447</v>
      </c>
      <c r="E393" s="290">
        <v>39813</v>
      </c>
      <c r="F393" s="290">
        <v>39814</v>
      </c>
      <c r="G393" s="293">
        <v>39814</v>
      </c>
      <c r="I393" s="34"/>
      <c r="J393" s="290">
        <v>39814</v>
      </c>
      <c r="K393" s="35"/>
    </row>
    <row r="394" spans="1:11" ht="17" thickBot="1" x14ac:dyDescent="0.25">
      <c r="A394" s="34"/>
      <c r="B394" s="1" t="s">
        <v>3371</v>
      </c>
      <c r="D394" s="109">
        <f>D354</f>
        <v>1000000</v>
      </c>
      <c r="E394" s="109">
        <f>D394</f>
        <v>1000000</v>
      </c>
      <c r="F394" s="109">
        <f>E394</f>
        <v>1000000</v>
      </c>
      <c r="G394" s="289">
        <f>F394*0.5</f>
        <v>500000</v>
      </c>
      <c r="I394" s="36" t="s">
        <v>2598</v>
      </c>
      <c r="J394" s="283">
        <f>G384</f>
        <v>597500</v>
      </c>
      <c r="K394" s="38"/>
    </row>
    <row r="395" spans="1:11" x14ac:dyDescent="0.2">
      <c r="A395" s="34"/>
      <c r="B395" s="1" t="s">
        <v>3372</v>
      </c>
      <c r="D395" s="109">
        <f>D355</f>
        <v>-34000</v>
      </c>
      <c r="E395" s="109">
        <f>D395-E398</f>
        <v>-68000</v>
      </c>
      <c r="F395" s="109">
        <f>E395</f>
        <v>-68000</v>
      </c>
      <c r="G395" s="289">
        <f>F395*0.5</f>
        <v>-34000</v>
      </c>
      <c r="J395" s="109"/>
    </row>
    <row r="396" spans="1:11" x14ac:dyDescent="0.2">
      <c r="A396" s="34"/>
      <c r="B396" s="1" t="s">
        <v>120</v>
      </c>
      <c r="D396" s="109">
        <f>D394+D395</f>
        <v>966000</v>
      </c>
      <c r="E396" s="109">
        <f>E394+E395</f>
        <v>932000</v>
      </c>
      <c r="F396" s="109">
        <f>F394+F395</f>
        <v>932000</v>
      </c>
      <c r="G396" s="289">
        <f>G394+G395</f>
        <v>466000</v>
      </c>
      <c r="J396" s="109"/>
    </row>
    <row r="397" spans="1:11" x14ac:dyDescent="0.2">
      <c r="A397" s="34"/>
      <c r="D397" s="109"/>
      <c r="E397" s="109"/>
      <c r="F397" s="109"/>
      <c r="G397" s="35"/>
    </row>
    <row r="398" spans="1:11" x14ac:dyDescent="0.2">
      <c r="A398" s="34"/>
      <c r="B398" s="1" t="s">
        <v>3373</v>
      </c>
      <c r="D398" s="109">
        <f>D358</f>
        <v>34000</v>
      </c>
      <c r="E398" s="109">
        <f>D398</f>
        <v>34000</v>
      </c>
      <c r="F398" s="291"/>
      <c r="G398" s="294"/>
    </row>
    <row r="399" spans="1:11" x14ac:dyDescent="0.2">
      <c r="A399" s="34"/>
      <c r="G399" s="35"/>
    </row>
    <row r="400" spans="1:11" x14ac:dyDescent="0.2">
      <c r="A400" s="34"/>
      <c r="B400" s="1" t="s">
        <v>3384</v>
      </c>
      <c r="G400" s="221">
        <f>G387</f>
        <v>131500</v>
      </c>
    </row>
    <row r="401" spans="1:10" ht="17" thickBot="1" x14ac:dyDescent="0.25">
      <c r="A401" s="36"/>
      <c r="B401" s="37" t="s">
        <v>3385</v>
      </c>
      <c r="C401" s="37"/>
      <c r="D401" s="37"/>
      <c r="E401" s="37"/>
      <c r="F401" s="37"/>
      <c r="G401" s="220">
        <f>G400</f>
        <v>131500</v>
      </c>
    </row>
    <row r="403" spans="1:10" x14ac:dyDescent="0.2">
      <c r="A403" s="55">
        <v>40178</v>
      </c>
      <c r="B403" s="56" t="s">
        <v>411</v>
      </c>
      <c r="C403" s="56"/>
      <c r="D403" s="56"/>
      <c r="E403" s="56"/>
      <c r="F403" s="56"/>
      <c r="G403" s="56"/>
      <c r="H403" s="56"/>
    </row>
    <row r="405" spans="1:10" x14ac:dyDescent="0.2">
      <c r="A405" s="3" t="s">
        <v>412</v>
      </c>
      <c r="B405" s="14">
        <v>40178</v>
      </c>
      <c r="F405" s="19" t="s">
        <v>190</v>
      </c>
      <c r="G405" s="128">
        <v>40178</v>
      </c>
      <c r="H405" s="62"/>
      <c r="I405" s="62"/>
      <c r="J405" s="62"/>
    </row>
    <row r="406" spans="1:10" x14ac:dyDescent="0.2">
      <c r="A406" s="1" t="s">
        <v>34</v>
      </c>
      <c r="B406" s="11">
        <f>600000*22/25*50%</f>
        <v>264000</v>
      </c>
      <c r="D406" s="1" t="s">
        <v>3386</v>
      </c>
      <c r="F406" s="62" t="s">
        <v>413</v>
      </c>
      <c r="G406" s="125">
        <f>1240000*50%</f>
        <v>620000</v>
      </c>
      <c r="H406" s="62"/>
      <c r="I406" s="62" t="s">
        <v>414</v>
      </c>
      <c r="J406" s="62"/>
    </row>
    <row r="407" spans="1:10" x14ac:dyDescent="0.2">
      <c r="A407" s="1" t="s">
        <v>20</v>
      </c>
      <c r="B407" s="11">
        <f>150000</f>
        <v>150000</v>
      </c>
      <c r="D407" s="1" t="s">
        <v>3387</v>
      </c>
      <c r="F407" s="62"/>
      <c r="G407" s="122"/>
      <c r="H407" s="62"/>
      <c r="I407" s="62"/>
    </row>
    <row r="408" spans="1:10" ht="17" thickBot="1" x14ac:dyDescent="0.25">
      <c r="A408" s="1" t="s">
        <v>371</v>
      </c>
      <c r="B408" s="11">
        <f>100000*7/10*50%</f>
        <v>35000</v>
      </c>
      <c r="D408" s="1" t="s">
        <v>3388</v>
      </c>
      <c r="F408" s="62" t="s">
        <v>415</v>
      </c>
      <c r="G408" s="125">
        <f>G384</f>
        <v>597500</v>
      </c>
      <c r="H408" s="62" t="s">
        <v>437</v>
      </c>
      <c r="I408" s="62"/>
      <c r="J408" s="1" t="s">
        <v>2797</v>
      </c>
    </row>
    <row r="409" spans="1:10" ht="17" thickBot="1" x14ac:dyDescent="0.25">
      <c r="A409" s="1" t="s">
        <v>373</v>
      </c>
      <c r="B409" s="40">
        <f>SUM(B406:B408)</f>
        <v>449000</v>
      </c>
      <c r="F409" s="59"/>
      <c r="G409" s="59"/>
      <c r="H409" s="59"/>
      <c r="I409" s="59"/>
      <c r="J409" s="1" t="s">
        <v>2798</v>
      </c>
    </row>
    <row r="410" spans="1:10" x14ac:dyDescent="0.2">
      <c r="F410" s="62" t="s">
        <v>416</v>
      </c>
      <c r="G410" s="60">
        <f>G406-G408</f>
        <v>22500</v>
      </c>
      <c r="H410" s="62"/>
      <c r="I410" s="62" t="s">
        <v>417</v>
      </c>
    </row>
    <row r="411" spans="1:10" x14ac:dyDescent="0.2">
      <c r="A411" s="1" t="s">
        <v>405</v>
      </c>
      <c r="B411" s="11">
        <f>150000*5/8</f>
        <v>93750</v>
      </c>
      <c r="D411" s="1" t="s">
        <v>418</v>
      </c>
      <c r="F411" s="62"/>
      <c r="G411" s="62"/>
      <c r="H411" s="62"/>
      <c r="I411" s="62"/>
    </row>
    <row r="412" spans="1:10" x14ac:dyDescent="0.2">
      <c r="F412" s="62"/>
      <c r="G412" s="62"/>
      <c r="H412" s="62"/>
      <c r="I412" s="62"/>
    </row>
    <row r="413" spans="1:10" x14ac:dyDescent="0.2">
      <c r="A413" s="1" t="s">
        <v>419</v>
      </c>
      <c r="F413" s="19" t="s">
        <v>420</v>
      </c>
      <c r="G413" s="19"/>
      <c r="H413" s="19"/>
      <c r="I413" s="64">
        <f>G410</f>
        <v>22500</v>
      </c>
    </row>
    <row r="414" spans="1:10" x14ac:dyDescent="0.2">
      <c r="F414" s="19"/>
      <c r="G414" s="19"/>
      <c r="H414" s="19"/>
      <c r="I414" s="19"/>
    </row>
    <row r="415" spans="1:10" x14ac:dyDescent="0.2">
      <c r="A415" s="1" t="s">
        <v>2788</v>
      </c>
      <c r="D415" s="11"/>
    </row>
    <row r="416" spans="1:10" x14ac:dyDescent="0.2">
      <c r="A416" s="224">
        <f>600000/25+100000/10</f>
        <v>34000</v>
      </c>
      <c r="C416" s="11"/>
      <c r="D416" s="11" t="s">
        <v>2790</v>
      </c>
      <c r="F416" s="62"/>
      <c r="G416" s="62"/>
      <c r="H416" s="62"/>
      <c r="I416" s="62"/>
    </row>
    <row r="417" spans="1:12" x14ac:dyDescent="0.2">
      <c r="A417" s="8" t="s">
        <v>2789</v>
      </c>
      <c r="B417" s="8"/>
      <c r="C417" s="223">
        <v>0.5</v>
      </c>
      <c r="D417" s="57" t="s">
        <v>412</v>
      </c>
      <c r="F417" s="62"/>
      <c r="G417" s="62"/>
      <c r="H417" s="62"/>
      <c r="I417" s="62"/>
    </row>
    <row r="418" spans="1:12" s="62" customFormat="1" x14ac:dyDescent="0.2">
      <c r="A418" s="62" t="s">
        <v>2791</v>
      </c>
      <c r="C418" s="11">
        <f>C417*A416</f>
        <v>17000</v>
      </c>
      <c r="D418" s="332" t="s">
        <v>2792</v>
      </c>
      <c r="E418" s="332"/>
    </row>
    <row r="419" spans="1:12" s="62" customFormat="1" x14ac:dyDescent="0.2"/>
    <row r="420" spans="1:12" s="62" customFormat="1" x14ac:dyDescent="0.2">
      <c r="A420" s="62" t="s">
        <v>2793</v>
      </c>
      <c r="C420" s="11">
        <f>150000/8</f>
        <v>18750</v>
      </c>
      <c r="D420" s="62" t="s">
        <v>2794</v>
      </c>
      <c r="E420" s="62" t="s">
        <v>2801</v>
      </c>
    </row>
    <row r="421" spans="1:12" s="62" customFormat="1" ht="17" thickBot="1" x14ac:dyDescent="0.25"/>
    <row r="422" spans="1:12" s="62" customFormat="1" ht="17" thickBot="1" x14ac:dyDescent="0.25">
      <c r="A422" s="62" t="s">
        <v>2795</v>
      </c>
      <c r="C422" s="61">
        <f>C418+C420</f>
        <v>35750</v>
      </c>
      <c r="E422" s="62" t="s">
        <v>2796</v>
      </c>
    </row>
    <row r="423" spans="1:12" s="62" customFormat="1" x14ac:dyDescent="0.2"/>
    <row r="424" spans="1:12" s="62" customFormat="1" x14ac:dyDescent="0.2"/>
    <row r="425" spans="1:12" s="62" customFormat="1" ht="17" thickBot="1" x14ac:dyDescent="0.25"/>
    <row r="426" spans="1:12" x14ac:dyDescent="0.2">
      <c r="A426" s="31" t="s">
        <v>3380</v>
      </c>
      <c r="B426" s="32"/>
      <c r="C426" s="32"/>
      <c r="D426" s="32"/>
      <c r="E426" s="282"/>
      <c r="F426" s="287" t="s">
        <v>3381</v>
      </c>
      <c r="G426" s="287" t="s">
        <v>3382</v>
      </c>
      <c r="H426" s="288" t="s">
        <v>2601</v>
      </c>
      <c r="J426" s="31" t="s">
        <v>3383</v>
      </c>
      <c r="K426" s="32"/>
      <c r="L426" s="33"/>
    </row>
    <row r="427" spans="1:12" x14ac:dyDescent="0.2">
      <c r="A427" s="34"/>
      <c r="D427" s="290">
        <v>39447</v>
      </c>
      <c r="E427" s="290">
        <v>39813</v>
      </c>
      <c r="F427" s="290">
        <v>39814</v>
      </c>
      <c r="G427" s="290">
        <v>39814</v>
      </c>
      <c r="H427" s="293">
        <v>40178</v>
      </c>
      <c r="J427" s="295"/>
      <c r="K427" s="7" t="s">
        <v>3389</v>
      </c>
      <c r="L427" s="219" t="s">
        <v>3311</v>
      </c>
    </row>
    <row r="428" spans="1:12" x14ac:dyDescent="0.2">
      <c r="A428" s="34"/>
      <c r="B428" s="1" t="s">
        <v>3371</v>
      </c>
      <c r="D428" s="109">
        <v>1000000</v>
      </c>
      <c r="E428" s="109">
        <v>1000000</v>
      </c>
      <c r="F428" s="109">
        <v>1000000</v>
      </c>
      <c r="G428" s="109">
        <v>500000</v>
      </c>
      <c r="H428" s="289">
        <v>500000</v>
      </c>
      <c r="J428" s="295"/>
      <c r="K428" s="290">
        <v>39814</v>
      </c>
      <c r="L428" s="293">
        <v>40178</v>
      </c>
    </row>
    <row r="429" spans="1:12" x14ac:dyDescent="0.2">
      <c r="A429" s="34"/>
      <c r="B429" s="1" t="s">
        <v>3372</v>
      </c>
      <c r="D429" s="109">
        <v>-34000</v>
      </c>
      <c r="E429" s="109">
        <v>-68000</v>
      </c>
      <c r="F429" s="109">
        <v>-68000</v>
      </c>
      <c r="G429" s="109">
        <v>-34000</v>
      </c>
      <c r="H429" s="289">
        <f>G429-H432</f>
        <v>-51000</v>
      </c>
      <c r="J429" s="295" t="s">
        <v>2598</v>
      </c>
      <c r="K429" s="109">
        <v>597500</v>
      </c>
      <c r="L429" s="221">
        <f>G406</f>
        <v>620000</v>
      </c>
    </row>
    <row r="430" spans="1:12" x14ac:dyDescent="0.2">
      <c r="A430" s="34"/>
      <c r="B430" s="1" t="s">
        <v>120</v>
      </c>
      <c r="D430" s="109">
        <v>966000</v>
      </c>
      <c r="E430" s="109">
        <v>932000</v>
      </c>
      <c r="F430" s="109">
        <v>932000</v>
      </c>
      <c r="G430" s="109">
        <v>466000</v>
      </c>
      <c r="H430" s="289">
        <f>H428+H429</f>
        <v>449000</v>
      </c>
      <c r="J430" s="296"/>
      <c r="L430" s="35"/>
    </row>
    <row r="431" spans="1:12" ht="17" thickBot="1" x14ac:dyDescent="0.25">
      <c r="A431" s="34"/>
      <c r="D431" s="109"/>
      <c r="E431" s="109"/>
      <c r="F431" s="109"/>
      <c r="H431" s="35"/>
      <c r="J431" s="36" t="s">
        <v>316</v>
      </c>
      <c r="K431" s="37"/>
      <c r="L431" s="220">
        <f>I413</f>
        <v>22500</v>
      </c>
    </row>
    <row r="432" spans="1:12" x14ac:dyDescent="0.2">
      <c r="A432" s="34"/>
      <c r="B432" s="1" t="s">
        <v>3373</v>
      </c>
      <c r="D432" s="109">
        <v>34000</v>
      </c>
      <c r="E432" s="109">
        <v>34000</v>
      </c>
      <c r="F432" s="291"/>
      <c r="G432" s="292"/>
      <c r="H432" s="289">
        <f>E432/2</f>
        <v>17000</v>
      </c>
    </row>
    <row r="433" spans="1:9" x14ac:dyDescent="0.2">
      <c r="A433" s="34"/>
      <c r="H433" s="35"/>
    </row>
    <row r="434" spans="1:9" x14ac:dyDescent="0.2">
      <c r="A434" s="34"/>
      <c r="B434" s="1" t="s">
        <v>3384</v>
      </c>
      <c r="G434" s="42">
        <v>131500</v>
      </c>
      <c r="H434" s="221">
        <f>G434</f>
        <v>131500</v>
      </c>
    </row>
    <row r="435" spans="1:9" ht="17" thickBot="1" x14ac:dyDescent="0.25">
      <c r="A435" s="36"/>
      <c r="B435" s="37" t="s">
        <v>3385</v>
      </c>
      <c r="C435" s="37"/>
      <c r="D435" s="37"/>
      <c r="E435" s="37"/>
      <c r="F435" s="37"/>
      <c r="G435" s="297">
        <v>131500</v>
      </c>
      <c r="H435" s="220">
        <f>G435</f>
        <v>131500</v>
      </c>
    </row>
    <row r="436" spans="1:9" s="62" customFormat="1" x14ac:dyDescent="0.2"/>
    <row r="437" spans="1:9" s="62" customFormat="1" x14ac:dyDescent="0.2"/>
    <row r="438" spans="1:9" x14ac:dyDescent="0.2">
      <c r="A438" s="55">
        <v>40543</v>
      </c>
      <c r="B438" s="56" t="s">
        <v>411</v>
      </c>
      <c r="C438" s="56"/>
      <c r="D438" s="56"/>
      <c r="E438" s="56"/>
      <c r="F438" s="56"/>
      <c r="G438" s="56"/>
      <c r="H438" s="56"/>
    </row>
    <row r="440" spans="1:9" x14ac:dyDescent="0.2">
      <c r="A440" s="3" t="s">
        <v>412</v>
      </c>
      <c r="B440" s="14">
        <v>40543</v>
      </c>
      <c r="F440" s="3" t="s">
        <v>190</v>
      </c>
      <c r="G440" s="14">
        <v>40543</v>
      </c>
    </row>
    <row r="441" spans="1:9" x14ac:dyDescent="0.2">
      <c r="A441" s="1" t="s">
        <v>34</v>
      </c>
      <c r="B441" s="11">
        <f>600000*21/25*50%</f>
        <v>252000</v>
      </c>
      <c r="D441" s="1" t="s">
        <v>421</v>
      </c>
      <c r="F441" s="62" t="s">
        <v>413</v>
      </c>
      <c r="G441" s="60">
        <v>600000</v>
      </c>
      <c r="H441" s="62"/>
      <c r="I441" s="62" t="s">
        <v>422</v>
      </c>
    </row>
    <row r="442" spans="1:9" x14ac:dyDescent="0.2">
      <c r="A442" s="1" t="s">
        <v>20</v>
      </c>
      <c r="B442" s="11">
        <f>150000</f>
        <v>150000</v>
      </c>
      <c r="F442" s="59"/>
      <c r="G442" s="59"/>
      <c r="H442" s="59"/>
      <c r="I442" s="59"/>
    </row>
    <row r="443" spans="1:9" ht="17" thickBot="1" x14ac:dyDescent="0.25">
      <c r="A443" s="1" t="s">
        <v>371</v>
      </c>
      <c r="B443" s="11">
        <f>100000*6/10*50%</f>
        <v>30000</v>
      </c>
      <c r="D443" s="1" t="s">
        <v>423</v>
      </c>
      <c r="F443" s="62" t="s">
        <v>415</v>
      </c>
      <c r="G443" s="60">
        <f>G406</f>
        <v>620000</v>
      </c>
      <c r="H443" s="62"/>
      <c r="I443" s="62" t="s">
        <v>2800</v>
      </c>
    </row>
    <row r="444" spans="1:9" ht="17" thickBot="1" x14ac:dyDescent="0.25">
      <c r="A444" s="1" t="s">
        <v>373</v>
      </c>
      <c r="B444" s="40">
        <f>SUM(B441:B443)</f>
        <v>432000</v>
      </c>
      <c r="F444" s="59"/>
      <c r="G444" s="59"/>
      <c r="H444" s="59"/>
      <c r="I444" s="62" t="s">
        <v>2482</v>
      </c>
    </row>
    <row r="445" spans="1:9" x14ac:dyDescent="0.2">
      <c r="F445" s="62" t="s">
        <v>318</v>
      </c>
      <c r="G445" s="60">
        <f>G443-G441</f>
        <v>20000</v>
      </c>
      <c r="H445" s="62"/>
      <c r="I445" s="62"/>
    </row>
    <row r="446" spans="1:9" x14ac:dyDescent="0.2">
      <c r="A446" s="1" t="s">
        <v>405</v>
      </c>
      <c r="B446" s="11">
        <v>75000</v>
      </c>
      <c r="D446" s="1" t="s">
        <v>424</v>
      </c>
      <c r="F446" s="62"/>
      <c r="G446" s="62"/>
      <c r="H446" s="62"/>
      <c r="I446" s="62"/>
    </row>
    <row r="447" spans="1:9" x14ac:dyDescent="0.2">
      <c r="F447" s="62"/>
      <c r="G447" s="62"/>
      <c r="H447" s="62"/>
      <c r="I447" s="62"/>
    </row>
    <row r="448" spans="1:9" x14ac:dyDescent="0.2">
      <c r="A448" s="1" t="s">
        <v>419</v>
      </c>
      <c r="F448" s="19" t="s">
        <v>438</v>
      </c>
      <c r="G448" s="19"/>
      <c r="H448" s="19"/>
      <c r="I448" s="64">
        <f>G445</f>
        <v>20000</v>
      </c>
    </row>
    <row r="449" spans="1:9" x14ac:dyDescent="0.2">
      <c r="A449" s="1" t="s">
        <v>2799</v>
      </c>
      <c r="C449" s="11">
        <f>C422</f>
        <v>35750</v>
      </c>
      <c r="F449" s="19"/>
      <c r="G449" s="19"/>
      <c r="H449" s="19"/>
      <c r="I449" s="19"/>
    </row>
    <row r="450" spans="1:9" x14ac:dyDescent="0.2">
      <c r="D450" s="11"/>
    </row>
    <row r="451" spans="1:9" x14ac:dyDescent="0.2">
      <c r="D451" s="11"/>
      <c r="F451" s="62"/>
      <c r="G451" s="62"/>
      <c r="H451" s="62"/>
      <c r="I451" s="62"/>
    </row>
    <row r="452" spans="1:9" x14ac:dyDescent="0.2">
      <c r="A452" s="8"/>
      <c r="B452" s="8"/>
      <c r="C452" s="8"/>
      <c r="D452" s="57"/>
      <c r="F452" s="62"/>
      <c r="G452" s="62"/>
      <c r="H452" s="62"/>
      <c r="I452" s="62"/>
    </row>
    <row r="453" spans="1:9" x14ac:dyDescent="0.2">
      <c r="F453" s="62"/>
      <c r="G453" s="62"/>
      <c r="H453" s="62"/>
      <c r="I453" s="62"/>
    </row>
  </sheetData>
  <mergeCells count="8">
    <mergeCell ref="D418:E418"/>
    <mergeCell ref="A1:H1"/>
    <mergeCell ref="C263:E263"/>
    <mergeCell ref="C264:E264"/>
    <mergeCell ref="C265:E265"/>
    <mergeCell ref="F275:G275"/>
    <mergeCell ref="B301:C301"/>
    <mergeCell ref="B303:C303"/>
  </mergeCells>
  <pageMargins left="0.7" right="0.7" top="0.75" bottom="0.75" header="0.3" footer="0.3"/>
  <pageSetup paperSize="9"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491805-5B69-2348-8752-EEA5B164574D}">
  <dimension ref="A1:P221"/>
  <sheetViews>
    <sheetView rightToLeft="1" topLeftCell="A204" zoomScale="200" zoomScaleNormal="200" workbookViewId="0">
      <selection activeCell="B230" sqref="B230"/>
    </sheetView>
  </sheetViews>
  <sheetFormatPr baseColWidth="10" defaultRowHeight="16" x14ac:dyDescent="0.2"/>
  <cols>
    <col min="1" max="5" width="10.83203125" style="1"/>
    <col min="6" max="8" width="10.83203125" style="1" customWidth="1"/>
    <col min="9" max="9" width="12.5" style="1" customWidth="1"/>
    <col min="10" max="10" width="10.83203125" style="1" customWidth="1"/>
    <col min="11" max="15" width="10.83203125" style="1"/>
    <col min="16" max="16" width="14.6640625" style="1" customWidth="1"/>
    <col min="17" max="16384" width="10.83203125" style="1"/>
  </cols>
  <sheetData>
    <row r="1" spans="1:16" ht="23" x14ac:dyDescent="0.25">
      <c r="A1" s="352" t="s">
        <v>3398</v>
      </c>
      <c r="B1" s="352"/>
      <c r="C1" s="352"/>
      <c r="D1" s="352"/>
      <c r="E1" s="352"/>
      <c r="F1" s="352"/>
      <c r="G1" s="352"/>
      <c r="H1" s="352"/>
      <c r="I1" s="352"/>
    </row>
    <row r="3" spans="1:16" x14ac:dyDescent="0.2">
      <c r="A3" s="186" t="s">
        <v>351</v>
      </c>
      <c r="B3" s="186"/>
      <c r="C3" s="186"/>
      <c r="D3" s="186"/>
      <c r="E3" s="186"/>
      <c r="F3" s="186"/>
      <c r="G3" s="186"/>
      <c r="H3" s="186"/>
      <c r="I3" s="186"/>
    </row>
    <row r="4" spans="1:16" x14ac:dyDescent="0.2">
      <c r="A4" s="1" t="s">
        <v>3399</v>
      </c>
    </row>
    <row r="5" spans="1:16" x14ac:dyDescent="0.2">
      <c r="A5" s="1" t="s">
        <v>3400</v>
      </c>
    </row>
    <row r="6" spans="1:16" x14ac:dyDescent="0.2">
      <c r="A6" s="1" t="s">
        <v>3401</v>
      </c>
    </row>
    <row r="7" spans="1:16" x14ac:dyDescent="0.2">
      <c r="A7" s="1" t="s">
        <v>3402</v>
      </c>
    </row>
    <row r="8" spans="1:16" x14ac:dyDescent="0.2">
      <c r="A8" s="1" t="s">
        <v>3403</v>
      </c>
    </row>
    <row r="9" spans="1:16" x14ac:dyDescent="0.2">
      <c r="A9" s="1" t="s">
        <v>3404</v>
      </c>
    </row>
    <row r="10" spans="1:16" ht="17" thickBot="1" x14ac:dyDescent="0.25"/>
    <row r="11" spans="1:16" ht="17" thickBot="1" x14ac:dyDescent="0.25">
      <c r="A11" s="354" t="s">
        <v>3415</v>
      </c>
      <c r="B11" s="355"/>
      <c r="C11" s="355"/>
      <c r="D11" s="355"/>
      <c r="E11" s="356"/>
      <c r="F11" s="354" t="s">
        <v>3391</v>
      </c>
      <c r="G11" s="355"/>
      <c r="H11" s="355"/>
      <c r="I11" s="355"/>
      <c r="J11" s="356"/>
      <c r="K11" s="301" t="s">
        <v>3390</v>
      </c>
      <c r="L11" s="302"/>
      <c r="M11" s="302"/>
      <c r="N11" s="302"/>
      <c r="O11" s="302"/>
      <c r="P11" s="303"/>
    </row>
    <row r="12" spans="1:16" x14ac:dyDescent="0.2">
      <c r="A12" s="87" t="s">
        <v>3392</v>
      </c>
      <c r="B12" s="88"/>
      <c r="C12" s="88"/>
      <c r="D12" s="88"/>
      <c r="E12" s="89"/>
      <c r="F12" s="349" t="s">
        <v>3405</v>
      </c>
      <c r="G12" s="350"/>
      <c r="H12" s="350"/>
      <c r="I12" s="350"/>
      <c r="J12" s="351"/>
      <c r="K12" s="349" t="s">
        <v>3416</v>
      </c>
      <c r="L12" s="350"/>
      <c r="M12" s="350"/>
      <c r="N12" s="350"/>
      <c r="O12" s="350"/>
      <c r="P12" s="351"/>
    </row>
    <row r="13" spans="1:16" x14ac:dyDescent="0.2">
      <c r="A13" s="90" t="s">
        <v>3393</v>
      </c>
      <c r="B13" s="59"/>
      <c r="C13" s="59"/>
      <c r="D13" s="59"/>
      <c r="E13" s="298"/>
      <c r="F13" s="337"/>
      <c r="G13" s="338"/>
      <c r="H13" s="338"/>
      <c r="I13" s="338"/>
      <c r="J13" s="339"/>
      <c r="K13" s="337"/>
      <c r="L13" s="338"/>
      <c r="M13" s="338"/>
      <c r="N13" s="338"/>
      <c r="O13" s="338"/>
      <c r="P13" s="339"/>
    </row>
    <row r="14" spans="1:16" x14ac:dyDescent="0.2">
      <c r="A14" s="90" t="s">
        <v>3394</v>
      </c>
      <c r="B14" s="59"/>
      <c r="C14" s="59"/>
      <c r="D14" s="59"/>
      <c r="E14" s="298"/>
      <c r="F14" s="337"/>
      <c r="G14" s="338"/>
      <c r="H14" s="338"/>
      <c r="I14" s="338"/>
      <c r="J14" s="339"/>
      <c r="K14" s="337" t="s">
        <v>3418</v>
      </c>
      <c r="L14" s="338"/>
      <c r="M14" s="338"/>
      <c r="N14" s="338"/>
      <c r="O14" s="338"/>
      <c r="P14" s="339"/>
    </row>
    <row r="15" spans="1:16" ht="17" thickBot="1" x14ac:dyDescent="0.25">
      <c r="A15" s="92" t="s">
        <v>3395</v>
      </c>
      <c r="B15" s="299"/>
      <c r="C15" s="299"/>
      <c r="D15" s="299"/>
      <c r="E15" s="300"/>
      <c r="F15" s="340"/>
      <c r="G15" s="341"/>
      <c r="H15" s="341"/>
      <c r="I15" s="341"/>
      <c r="J15" s="342"/>
      <c r="K15" s="340"/>
      <c r="L15" s="341"/>
      <c r="M15" s="341"/>
      <c r="N15" s="341"/>
      <c r="O15" s="341"/>
      <c r="P15" s="342"/>
    </row>
    <row r="16" spans="1:16" x14ac:dyDescent="0.2">
      <c r="A16" s="87" t="s">
        <v>3396</v>
      </c>
      <c r="B16" s="304"/>
      <c r="C16" s="304"/>
      <c r="D16" s="304"/>
      <c r="E16" s="305"/>
      <c r="F16" s="349" t="s">
        <v>3406</v>
      </c>
      <c r="G16" s="350"/>
      <c r="H16" s="350"/>
      <c r="I16" s="350"/>
      <c r="J16" s="351"/>
      <c r="K16" s="87" t="s">
        <v>3417</v>
      </c>
      <c r="L16" s="304"/>
      <c r="M16" s="304"/>
      <c r="N16" s="304"/>
      <c r="O16" s="304"/>
      <c r="P16" s="305"/>
    </row>
    <row r="17" spans="1:16" ht="17" thickBot="1" x14ac:dyDescent="0.25">
      <c r="A17" s="92" t="s">
        <v>3397</v>
      </c>
      <c r="B17" s="299"/>
      <c r="C17" s="299"/>
      <c r="D17" s="299"/>
      <c r="E17" s="300"/>
      <c r="F17" s="340"/>
      <c r="G17" s="341"/>
      <c r="H17" s="341"/>
      <c r="I17" s="341"/>
      <c r="J17" s="342"/>
      <c r="K17" s="340" t="s">
        <v>3418</v>
      </c>
      <c r="L17" s="341"/>
      <c r="M17" s="341"/>
      <c r="N17" s="341"/>
      <c r="O17" s="341"/>
      <c r="P17" s="342"/>
    </row>
    <row r="18" spans="1:16" x14ac:dyDescent="0.2">
      <c r="A18" s="87" t="s">
        <v>3408</v>
      </c>
      <c r="B18" s="304"/>
      <c r="C18" s="304"/>
      <c r="D18" s="304"/>
      <c r="E18" s="305"/>
      <c r="F18" s="349" t="s">
        <v>3407</v>
      </c>
      <c r="G18" s="350"/>
      <c r="H18" s="350"/>
      <c r="I18" s="350"/>
      <c r="J18" s="350"/>
      <c r="K18" s="349" t="s">
        <v>3419</v>
      </c>
      <c r="L18" s="350"/>
      <c r="M18" s="350"/>
      <c r="N18" s="350"/>
      <c r="O18" s="350"/>
      <c r="P18" s="351"/>
    </row>
    <row r="19" spans="1:16" x14ac:dyDescent="0.2">
      <c r="A19" s="90" t="s">
        <v>3409</v>
      </c>
      <c r="B19" s="59"/>
      <c r="C19" s="59"/>
      <c r="D19" s="59"/>
      <c r="E19" s="298"/>
      <c r="F19" s="337"/>
      <c r="G19" s="338"/>
      <c r="H19" s="338"/>
      <c r="I19" s="338"/>
      <c r="J19" s="338"/>
      <c r="K19" s="337"/>
      <c r="L19" s="338"/>
      <c r="M19" s="338"/>
      <c r="N19" s="338"/>
      <c r="O19" s="338"/>
      <c r="P19" s="339"/>
    </row>
    <row r="20" spans="1:16" x14ac:dyDescent="0.2">
      <c r="A20" s="90" t="s">
        <v>3410</v>
      </c>
      <c r="B20" s="59"/>
      <c r="C20" s="59"/>
      <c r="D20" s="59"/>
      <c r="E20" s="298"/>
      <c r="F20" s="337"/>
      <c r="G20" s="338"/>
      <c r="H20" s="338"/>
      <c r="I20" s="338"/>
      <c r="J20" s="338"/>
      <c r="K20" s="337" t="s">
        <v>3420</v>
      </c>
      <c r="L20" s="338"/>
      <c r="M20" s="338"/>
      <c r="N20" s="338"/>
      <c r="O20" s="338"/>
      <c r="P20" s="339"/>
    </row>
    <row r="21" spans="1:16" ht="17" thickBot="1" x14ac:dyDescent="0.25">
      <c r="A21" s="90" t="s">
        <v>3411</v>
      </c>
      <c r="B21" s="59"/>
      <c r="C21" s="59"/>
      <c r="D21" s="59"/>
      <c r="E21" s="298"/>
      <c r="F21" s="337"/>
      <c r="G21" s="338"/>
      <c r="H21" s="338"/>
      <c r="I21" s="338"/>
      <c r="J21" s="338"/>
      <c r="K21" s="340"/>
      <c r="L21" s="341"/>
      <c r="M21" s="341"/>
      <c r="N21" s="341"/>
      <c r="O21" s="341"/>
      <c r="P21" s="342"/>
    </row>
    <row r="22" spans="1:16" x14ac:dyDescent="0.2">
      <c r="A22" s="87" t="s">
        <v>3413</v>
      </c>
      <c r="B22" s="304"/>
      <c r="C22" s="304"/>
      <c r="D22" s="304"/>
      <c r="E22" s="305"/>
      <c r="F22" s="349" t="s">
        <v>3414</v>
      </c>
      <c r="G22" s="350"/>
      <c r="H22" s="350"/>
      <c r="I22" s="350"/>
      <c r="J22" s="351"/>
      <c r="K22" s="343" t="s">
        <v>3421</v>
      </c>
      <c r="L22" s="344"/>
      <c r="M22" s="344"/>
      <c r="N22" s="344"/>
      <c r="O22" s="344"/>
      <c r="P22" s="345"/>
    </row>
    <row r="23" spans="1:16" ht="17" thickBot="1" x14ac:dyDescent="0.25">
      <c r="A23" s="92" t="s">
        <v>3412</v>
      </c>
      <c r="B23" s="299"/>
      <c r="C23" s="299"/>
      <c r="D23" s="299"/>
      <c r="E23" s="300"/>
      <c r="F23" s="340"/>
      <c r="G23" s="341"/>
      <c r="H23" s="341"/>
      <c r="I23" s="341"/>
      <c r="J23" s="342"/>
      <c r="K23" s="346" t="s">
        <v>3422</v>
      </c>
      <c r="L23" s="347"/>
      <c r="M23" s="347"/>
      <c r="N23" s="347"/>
      <c r="O23" s="347"/>
      <c r="P23" s="348"/>
    </row>
    <row r="25" spans="1:16" x14ac:dyDescent="0.2">
      <c r="A25" s="30" t="s">
        <v>439</v>
      </c>
      <c r="B25" s="65"/>
      <c r="C25" s="65"/>
      <c r="D25" s="65"/>
      <c r="E25" s="65"/>
      <c r="F25" s="65"/>
      <c r="G25" s="65"/>
      <c r="H25" s="65"/>
      <c r="I25" s="65"/>
    </row>
    <row r="27" spans="1:16" x14ac:dyDescent="0.2">
      <c r="A27" s="3" t="s">
        <v>440</v>
      </c>
    </row>
    <row r="29" spans="1:16" x14ac:dyDescent="0.2">
      <c r="A29" s="1" t="s">
        <v>2802</v>
      </c>
    </row>
    <row r="30" spans="1:16" x14ac:dyDescent="0.2">
      <c r="A30" s="1" t="s">
        <v>2803</v>
      </c>
    </row>
    <row r="31" spans="1:16" x14ac:dyDescent="0.2">
      <c r="A31" s="1" t="s">
        <v>2804</v>
      </c>
    </row>
    <row r="32" spans="1:16" x14ac:dyDescent="0.2">
      <c r="A32" s="1" t="s">
        <v>2805</v>
      </c>
    </row>
    <row r="33" spans="1:9" x14ac:dyDescent="0.2">
      <c r="A33" s="1" t="s">
        <v>2806</v>
      </c>
    </row>
    <row r="34" spans="1:9" x14ac:dyDescent="0.2">
      <c r="A34" s="1" t="s">
        <v>2807</v>
      </c>
    </row>
    <row r="36" spans="1:9" x14ac:dyDescent="0.2">
      <c r="A36" s="1" t="s">
        <v>2808</v>
      </c>
    </row>
    <row r="37" spans="1:9" x14ac:dyDescent="0.2">
      <c r="A37" s="1" t="s">
        <v>2809</v>
      </c>
    </row>
    <row r="38" spans="1:9" x14ac:dyDescent="0.2">
      <c r="A38" s="1" t="s">
        <v>2810</v>
      </c>
    </row>
    <row r="40" spans="1:9" x14ac:dyDescent="0.2">
      <c r="A40" s="1" t="s">
        <v>2811</v>
      </c>
    </row>
    <row r="41" spans="1:9" x14ac:dyDescent="0.2">
      <c r="A41" s="1" t="s">
        <v>2812</v>
      </c>
    </row>
    <row r="42" spans="1:9" x14ac:dyDescent="0.2">
      <c r="A42" s="1" t="s">
        <v>2813</v>
      </c>
    </row>
    <row r="44" spans="1:9" x14ac:dyDescent="0.2">
      <c r="A44" s="30" t="s">
        <v>441</v>
      </c>
      <c r="B44" s="65"/>
      <c r="C44" s="65"/>
      <c r="D44" s="65"/>
      <c r="E44" s="65"/>
      <c r="F44" s="65"/>
      <c r="G44" s="65"/>
      <c r="H44" s="65"/>
      <c r="I44" s="65"/>
    </row>
    <row r="46" spans="1:9" x14ac:dyDescent="0.2">
      <c r="A46" s="1" t="s">
        <v>442</v>
      </c>
    </row>
    <row r="47" spans="1:9" x14ac:dyDescent="0.2">
      <c r="A47" s="1" t="s">
        <v>443</v>
      </c>
    </row>
    <row r="48" spans="1:9" x14ac:dyDescent="0.2">
      <c r="A48" s="1" t="s">
        <v>2853</v>
      </c>
    </row>
    <row r="49" spans="1:9" x14ac:dyDescent="0.2">
      <c r="A49" s="1" t="s">
        <v>444</v>
      </c>
    </row>
    <row r="51" spans="1:9" x14ac:dyDescent="0.2">
      <c r="A51" s="1" t="s">
        <v>445</v>
      </c>
    </row>
    <row r="53" spans="1:9" x14ac:dyDescent="0.2">
      <c r="A53" s="30" t="s">
        <v>446</v>
      </c>
      <c r="B53" s="65"/>
      <c r="C53" s="65"/>
      <c r="D53" s="65"/>
      <c r="E53" s="65"/>
      <c r="F53" s="65"/>
      <c r="G53" s="65"/>
      <c r="H53" s="65"/>
      <c r="I53" s="65"/>
    </row>
    <row r="54" spans="1:9" x14ac:dyDescent="0.2">
      <c r="A54" s="1" t="s">
        <v>447</v>
      </c>
    </row>
    <row r="55" spans="1:9" x14ac:dyDescent="0.2">
      <c r="A55" s="1" t="s">
        <v>448</v>
      </c>
    </row>
    <row r="56" spans="1:9" x14ac:dyDescent="0.2">
      <c r="A56" s="1" t="s">
        <v>449</v>
      </c>
    </row>
    <row r="58" spans="1:9" x14ac:dyDescent="0.2">
      <c r="A58" s="1" t="s">
        <v>450</v>
      </c>
    </row>
    <row r="59" spans="1:9" x14ac:dyDescent="0.2">
      <c r="A59" s="1" t="s">
        <v>451</v>
      </c>
    </row>
    <row r="61" spans="1:9" x14ac:dyDescent="0.2">
      <c r="A61" s="1" t="s">
        <v>452</v>
      </c>
    </row>
    <row r="62" spans="1:9" x14ac:dyDescent="0.2">
      <c r="A62" s="1" t="s">
        <v>453</v>
      </c>
    </row>
    <row r="63" spans="1:9" x14ac:dyDescent="0.2">
      <c r="A63" s="1" t="s">
        <v>454</v>
      </c>
    </row>
    <row r="64" spans="1:9" x14ac:dyDescent="0.2">
      <c r="A64" s="1" t="s">
        <v>2814</v>
      </c>
    </row>
    <row r="65" spans="1:9" x14ac:dyDescent="0.2">
      <c r="A65" s="1" t="s">
        <v>455</v>
      </c>
    </row>
    <row r="66" spans="1:9" x14ac:dyDescent="0.2">
      <c r="A66" s="1" t="s">
        <v>456</v>
      </c>
    </row>
    <row r="67" spans="1:9" x14ac:dyDescent="0.2">
      <c r="A67" s="1" t="s">
        <v>457</v>
      </c>
    </row>
    <row r="69" spans="1:9" x14ac:dyDescent="0.2">
      <c r="A69" s="8" t="s">
        <v>2815</v>
      </c>
    </row>
    <row r="71" spans="1:9" x14ac:dyDescent="0.2">
      <c r="A71" s="30" t="s">
        <v>458</v>
      </c>
      <c r="B71" s="65"/>
      <c r="C71" s="65"/>
      <c r="D71" s="65"/>
      <c r="E71" s="65"/>
      <c r="F71" s="65"/>
      <c r="G71" s="65"/>
      <c r="H71" s="65"/>
      <c r="I71" s="65"/>
    </row>
    <row r="72" spans="1:9" x14ac:dyDescent="0.2">
      <c r="A72" s="1" t="s">
        <v>459</v>
      </c>
    </row>
    <row r="73" spans="1:9" x14ac:dyDescent="0.2">
      <c r="B73" s="1" t="s">
        <v>460</v>
      </c>
    </row>
    <row r="74" spans="1:9" x14ac:dyDescent="0.2">
      <c r="B74" s="1" t="s">
        <v>461</v>
      </c>
    </row>
    <row r="75" spans="1:9" x14ac:dyDescent="0.2">
      <c r="B75" s="1" t="s">
        <v>462</v>
      </c>
    </row>
    <row r="76" spans="1:9" x14ac:dyDescent="0.2">
      <c r="B76" s="1" t="s">
        <v>463</v>
      </c>
    </row>
    <row r="77" spans="1:9" x14ac:dyDescent="0.2">
      <c r="B77" s="1" t="s">
        <v>464</v>
      </c>
    </row>
    <row r="78" spans="1:9" x14ac:dyDescent="0.2">
      <c r="B78" s="1" t="s">
        <v>465</v>
      </c>
    </row>
    <row r="80" spans="1:9" x14ac:dyDescent="0.2">
      <c r="A80" s="30" t="s">
        <v>466</v>
      </c>
      <c r="B80" s="65"/>
      <c r="C80" s="65"/>
      <c r="D80" s="65"/>
      <c r="E80" s="65"/>
      <c r="F80" s="65"/>
      <c r="G80" s="65"/>
      <c r="H80" s="65"/>
      <c r="I80" s="65"/>
    </row>
    <row r="82" spans="1:9" x14ac:dyDescent="0.2">
      <c r="A82" s="3" t="s">
        <v>467</v>
      </c>
      <c r="B82" s="3"/>
      <c r="C82" s="3"/>
      <c r="D82" s="3"/>
      <c r="E82" s="3"/>
      <c r="F82" s="3"/>
    </row>
    <row r="83" spans="1:9" x14ac:dyDescent="0.2">
      <c r="A83" s="3"/>
      <c r="B83" s="3" t="s">
        <v>468</v>
      </c>
      <c r="C83" s="3"/>
      <c r="D83" s="3"/>
      <c r="E83" s="3"/>
      <c r="F83" s="3"/>
    </row>
    <row r="85" spans="1:9" x14ac:dyDescent="0.2">
      <c r="A85" s="66" t="s">
        <v>469</v>
      </c>
      <c r="B85" s="66"/>
      <c r="C85" s="66"/>
      <c r="D85" s="66"/>
      <c r="E85" s="66"/>
      <c r="F85" s="66"/>
      <c r="G85" s="66"/>
      <c r="H85" s="66"/>
      <c r="I85" s="66"/>
    </row>
    <row r="86" spans="1:9" x14ac:dyDescent="0.2">
      <c r="A86" s="66" t="s">
        <v>2816</v>
      </c>
      <c r="B86" s="66"/>
      <c r="C86" s="66"/>
      <c r="D86" s="66"/>
      <c r="E86" s="66"/>
      <c r="F86" s="66"/>
      <c r="G86" s="66"/>
      <c r="H86" s="66"/>
      <c r="I86" s="66"/>
    </row>
    <row r="87" spans="1:9" x14ac:dyDescent="0.2">
      <c r="A87" s="66" t="s">
        <v>470</v>
      </c>
      <c r="B87" s="66"/>
      <c r="C87" s="66"/>
      <c r="D87" s="66"/>
      <c r="E87" s="66"/>
      <c r="F87" s="66"/>
      <c r="G87" s="66"/>
      <c r="H87" s="66"/>
      <c r="I87" s="66"/>
    </row>
    <row r="88" spans="1:9" x14ac:dyDescent="0.2">
      <c r="A88" s="66"/>
      <c r="B88" s="66"/>
      <c r="C88" s="66"/>
      <c r="D88" s="66"/>
      <c r="E88" s="66"/>
      <c r="F88" s="66"/>
      <c r="G88" s="66"/>
      <c r="H88" s="66"/>
      <c r="I88" s="66"/>
    </row>
    <row r="89" spans="1:9" x14ac:dyDescent="0.2">
      <c r="A89" s="66"/>
      <c r="B89" s="66"/>
      <c r="C89" s="353" t="s">
        <v>615</v>
      </c>
      <c r="D89" s="353"/>
      <c r="E89" s="278"/>
      <c r="F89" s="66"/>
      <c r="G89" s="66"/>
      <c r="H89" s="66"/>
      <c r="I89" s="66"/>
    </row>
    <row r="90" spans="1:9" x14ac:dyDescent="0.2">
      <c r="A90" s="66"/>
      <c r="B90" s="66"/>
      <c r="C90" s="67" t="s">
        <v>471</v>
      </c>
      <c r="D90" s="67" t="s">
        <v>472</v>
      </c>
      <c r="E90" s="66"/>
      <c r="F90" s="66"/>
      <c r="G90" s="66"/>
      <c r="H90" s="66"/>
      <c r="I90" s="66"/>
    </row>
    <row r="91" spans="1:9" x14ac:dyDescent="0.2">
      <c r="A91" s="66"/>
      <c r="B91" s="66"/>
      <c r="C91" s="62" t="s">
        <v>473</v>
      </c>
      <c r="D91" s="19" t="s">
        <v>474</v>
      </c>
      <c r="E91" s="19"/>
      <c r="F91" s="66"/>
      <c r="G91" s="66"/>
      <c r="H91" s="66"/>
      <c r="I91" s="66"/>
    </row>
    <row r="92" spans="1:9" x14ac:dyDescent="0.2">
      <c r="A92" s="66"/>
      <c r="B92" s="66"/>
      <c r="C92" s="66"/>
      <c r="D92" s="66"/>
      <c r="E92" s="66"/>
      <c r="F92" s="66"/>
      <c r="G92" s="66"/>
      <c r="H92" s="66"/>
      <c r="I92" s="66"/>
    </row>
    <row r="93" spans="1:9" s="62" customFormat="1" x14ac:dyDescent="0.2">
      <c r="A93" s="62" t="s">
        <v>2817</v>
      </c>
    </row>
    <row r="94" spans="1:9" x14ac:dyDescent="0.2">
      <c r="A94" s="66"/>
      <c r="B94" s="66"/>
      <c r="C94" s="66"/>
      <c r="D94" s="66"/>
      <c r="E94" s="66"/>
      <c r="F94" s="66"/>
      <c r="G94" s="66"/>
      <c r="H94" s="66"/>
      <c r="I94" s="66"/>
    </row>
    <row r="95" spans="1:9" x14ac:dyDescent="0.2">
      <c r="A95" s="66" t="s">
        <v>475</v>
      </c>
      <c r="B95" s="66"/>
      <c r="C95" s="66"/>
      <c r="D95" s="66"/>
      <c r="E95" s="66"/>
      <c r="F95" s="66"/>
      <c r="G95" s="66"/>
      <c r="H95" s="66"/>
      <c r="I95" s="66"/>
    </row>
    <row r="97" spans="1:1" x14ac:dyDescent="0.2">
      <c r="A97" s="1" t="s">
        <v>2818</v>
      </c>
    </row>
    <row r="98" spans="1:1" x14ac:dyDescent="0.2">
      <c r="A98" s="1" t="s">
        <v>476</v>
      </c>
    </row>
    <row r="99" spans="1:1" x14ac:dyDescent="0.2">
      <c r="A99" s="1" t="s">
        <v>477</v>
      </c>
    </row>
    <row r="100" spans="1:1" x14ac:dyDescent="0.2">
      <c r="A100" s="1" t="s">
        <v>478</v>
      </c>
    </row>
    <row r="101" spans="1:1" x14ac:dyDescent="0.2">
      <c r="A101" s="1" t="s">
        <v>479</v>
      </c>
    </row>
    <row r="102" spans="1:1" x14ac:dyDescent="0.2">
      <c r="A102" s="1" t="s">
        <v>480</v>
      </c>
    </row>
    <row r="104" spans="1:1" x14ac:dyDescent="0.2">
      <c r="A104" s="1" t="s">
        <v>481</v>
      </c>
    </row>
    <row r="105" spans="1:1" x14ac:dyDescent="0.2">
      <c r="A105" s="1" t="s">
        <v>482</v>
      </c>
    </row>
    <row r="106" spans="1:1" x14ac:dyDescent="0.2">
      <c r="A106" s="1" t="s">
        <v>483</v>
      </c>
    </row>
    <row r="107" spans="1:1" x14ac:dyDescent="0.2">
      <c r="A107" s="1" t="s">
        <v>484</v>
      </c>
    </row>
    <row r="108" spans="1:1" x14ac:dyDescent="0.2">
      <c r="A108" s="1" t="s">
        <v>485</v>
      </c>
    </row>
    <row r="110" spans="1:1" x14ac:dyDescent="0.2">
      <c r="A110" s="1" t="s">
        <v>486</v>
      </c>
    </row>
    <row r="111" spans="1:1" x14ac:dyDescent="0.2">
      <c r="A111" s="1" t="s">
        <v>487</v>
      </c>
    </row>
    <row r="113" spans="1:11" x14ac:dyDescent="0.2">
      <c r="A113" s="1" t="s">
        <v>488</v>
      </c>
    </row>
    <row r="114" spans="1:11" x14ac:dyDescent="0.2">
      <c r="C114" s="1" t="s">
        <v>489</v>
      </c>
      <c r="F114" s="7">
        <v>150</v>
      </c>
      <c r="G114" s="9" t="s">
        <v>2819</v>
      </c>
    </row>
    <row r="115" spans="1:11" ht="17" thickBot="1" x14ac:dyDescent="0.25">
      <c r="C115" s="1" t="s">
        <v>490</v>
      </c>
      <c r="F115" s="7">
        <v>100</v>
      </c>
      <c r="G115" s="9" t="s">
        <v>2820</v>
      </c>
    </row>
    <row r="116" spans="1:11" ht="17" thickBot="1" x14ac:dyDescent="0.25">
      <c r="C116" s="1" t="s">
        <v>491</v>
      </c>
      <c r="F116" s="69">
        <v>50</v>
      </c>
      <c r="G116" s="7"/>
    </row>
    <row r="117" spans="1:11" x14ac:dyDescent="0.2">
      <c r="F117" s="7"/>
      <c r="G117" s="7"/>
    </row>
    <row r="118" spans="1:11" x14ac:dyDescent="0.2">
      <c r="C118" s="1" t="s">
        <v>492</v>
      </c>
      <c r="F118" s="7"/>
      <c r="G118" s="7">
        <v>0</v>
      </c>
    </row>
    <row r="119" spans="1:11" x14ac:dyDescent="0.2">
      <c r="C119" s="1" t="s">
        <v>493</v>
      </c>
      <c r="F119" s="7"/>
      <c r="G119" s="7">
        <f>F116</f>
        <v>50</v>
      </c>
      <c r="H119" s="3" t="s">
        <v>494</v>
      </c>
    </row>
    <row r="120" spans="1:11" ht="17" thickBot="1" x14ac:dyDescent="0.25"/>
    <row r="121" spans="1:11" x14ac:dyDescent="0.2">
      <c r="A121" s="47" t="s">
        <v>495</v>
      </c>
      <c r="B121" s="48"/>
      <c r="C121" s="48"/>
      <c r="D121" s="48"/>
      <c r="E121" s="48"/>
      <c r="F121" s="48"/>
      <c r="G121" s="48"/>
      <c r="H121" s="48"/>
      <c r="I121" s="49"/>
    </row>
    <row r="122" spans="1:11" x14ac:dyDescent="0.2">
      <c r="A122" s="50" t="s">
        <v>496</v>
      </c>
      <c r="B122" s="21"/>
      <c r="C122" s="21"/>
      <c r="D122" s="21"/>
      <c r="E122" s="21"/>
      <c r="F122" s="21"/>
      <c r="G122" s="21"/>
      <c r="H122" s="21"/>
      <c r="I122" s="51"/>
    </row>
    <row r="123" spans="1:11" x14ac:dyDescent="0.2">
      <c r="A123" s="50" t="s">
        <v>497</v>
      </c>
      <c r="B123" s="21"/>
      <c r="C123" s="21"/>
      <c r="D123" s="21"/>
      <c r="E123" s="21"/>
      <c r="F123" s="21"/>
      <c r="G123" s="21"/>
      <c r="H123" s="21"/>
      <c r="I123" s="51"/>
    </row>
    <row r="124" spans="1:11" x14ac:dyDescent="0.2">
      <c r="A124" s="50"/>
      <c r="B124" s="21"/>
      <c r="C124" s="21"/>
      <c r="D124" s="21"/>
      <c r="E124" s="21"/>
      <c r="F124" s="21"/>
      <c r="G124" s="21"/>
      <c r="H124" s="21"/>
      <c r="I124" s="51"/>
    </row>
    <row r="125" spans="1:11" x14ac:dyDescent="0.2">
      <c r="A125" s="50" t="s">
        <v>498</v>
      </c>
      <c r="B125" s="21"/>
      <c r="C125" s="21"/>
      <c r="D125" s="21"/>
      <c r="E125" s="21"/>
      <c r="F125" s="21"/>
      <c r="G125" s="21"/>
      <c r="H125" s="21"/>
      <c r="I125" s="51"/>
    </row>
    <row r="126" spans="1:11" ht="17" thickBot="1" x14ac:dyDescent="0.25">
      <c r="A126" s="52" t="s">
        <v>499</v>
      </c>
      <c r="B126" s="53"/>
      <c r="C126" s="53"/>
      <c r="D126" s="53"/>
      <c r="E126" s="53"/>
      <c r="F126" s="53"/>
      <c r="G126" s="53"/>
      <c r="H126" s="53"/>
      <c r="I126" s="54"/>
    </row>
    <row r="127" spans="1:11" ht="17" thickBot="1" x14ac:dyDescent="0.25">
      <c r="A127" s="21"/>
      <c r="B127" s="21"/>
      <c r="C127" s="21"/>
      <c r="D127" s="21"/>
      <c r="E127" s="21"/>
      <c r="F127" s="21"/>
      <c r="G127" s="21"/>
      <c r="H127" s="21"/>
      <c r="I127" s="21"/>
    </row>
    <row r="128" spans="1:11" x14ac:dyDescent="0.2">
      <c r="A128" s="306" t="s">
        <v>3423</v>
      </c>
      <c r="B128" s="307"/>
      <c r="C128" s="307"/>
      <c r="D128" s="307"/>
      <c r="E128" s="48"/>
      <c r="F128" s="48"/>
      <c r="G128" s="48"/>
      <c r="H128" s="48"/>
      <c r="I128" s="48"/>
      <c r="J128" s="32"/>
      <c r="K128" s="33"/>
    </row>
    <row r="129" spans="1:11" x14ac:dyDescent="0.2">
      <c r="A129" s="50"/>
      <c r="B129" s="21"/>
      <c r="C129" s="21"/>
      <c r="D129" s="21"/>
      <c r="E129" s="21"/>
      <c r="F129" s="21"/>
      <c r="G129" s="21"/>
      <c r="H129" s="21"/>
      <c r="I129" s="21"/>
      <c r="K129" s="35"/>
    </row>
    <row r="130" spans="1:11" x14ac:dyDescent="0.2">
      <c r="A130" s="90" t="s">
        <v>3424</v>
      </c>
      <c r="B130" s="21"/>
      <c r="C130" s="21"/>
      <c r="D130" s="21"/>
      <c r="E130" s="21"/>
      <c r="F130" s="21"/>
      <c r="G130" s="21"/>
      <c r="H130" s="62" t="s">
        <v>88</v>
      </c>
      <c r="I130" s="62"/>
      <c r="K130" s="35"/>
    </row>
    <row r="131" spans="1:11" x14ac:dyDescent="0.2">
      <c r="A131" s="90" t="s">
        <v>3425</v>
      </c>
      <c r="B131" s="21"/>
      <c r="C131" s="21"/>
      <c r="D131" s="21"/>
      <c r="E131" s="21"/>
      <c r="F131" s="21"/>
      <c r="G131" s="21"/>
      <c r="H131" s="62" t="s">
        <v>3432</v>
      </c>
      <c r="I131" s="62"/>
      <c r="K131" s="35"/>
    </row>
    <row r="132" spans="1:11" x14ac:dyDescent="0.2">
      <c r="A132" s="90" t="s">
        <v>3426</v>
      </c>
      <c r="B132" s="21"/>
      <c r="C132" s="21"/>
      <c r="D132" s="21"/>
      <c r="E132" s="21"/>
      <c r="F132" s="21"/>
      <c r="G132" s="21"/>
      <c r="H132" s="62" t="s">
        <v>3433</v>
      </c>
      <c r="I132" s="62"/>
      <c r="K132" s="35"/>
    </row>
    <row r="133" spans="1:11" x14ac:dyDescent="0.2">
      <c r="A133" s="50"/>
      <c r="B133" s="21"/>
      <c r="C133" s="21"/>
      <c r="D133" s="21"/>
      <c r="E133" s="21"/>
      <c r="F133" s="21"/>
      <c r="G133" s="21"/>
      <c r="H133" s="62" t="s">
        <v>3434</v>
      </c>
      <c r="I133" s="62"/>
      <c r="K133" s="35"/>
    </row>
    <row r="134" spans="1:11" x14ac:dyDescent="0.2">
      <c r="A134" s="50"/>
      <c r="B134" s="21"/>
      <c r="C134" s="62" t="s">
        <v>3427</v>
      </c>
      <c r="D134" s="62"/>
      <c r="E134" s="62"/>
      <c r="F134" s="62"/>
      <c r="G134" s="21"/>
      <c r="H134" s="62" t="s">
        <v>3435</v>
      </c>
      <c r="I134" s="62"/>
      <c r="K134" s="35"/>
    </row>
    <row r="135" spans="1:11" x14ac:dyDescent="0.2">
      <c r="A135" s="50"/>
      <c r="B135" s="21"/>
      <c r="C135" s="62" t="s">
        <v>471</v>
      </c>
      <c r="D135" s="62"/>
      <c r="E135" s="62" t="s">
        <v>3428</v>
      </c>
      <c r="F135" s="62"/>
      <c r="G135" s="21"/>
      <c r="H135" s="62" t="s">
        <v>3436</v>
      </c>
      <c r="I135" s="62"/>
      <c r="K135" s="35"/>
    </row>
    <row r="136" spans="1:11" x14ac:dyDescent="0.2">
      <c r="A136" s="50"/>
      <c r="B136" s="21"/>
      <c r="C136" s="62" t="s">
        <v>105</v>
      </c>
      <c r="D136" s="62">
        <v>400</v>
      </c>
      <c r="E136" s="62" t="s">
        <v>3429</v>
      </c>
      <c r="F136" s="62">
        <v>600</v>
      </c>
      <c r="G136" s="21"/>
      <c r="H136" s="62" t="s">
        <v>3437</v>
      </c>
      <c r="I136" s="62"/>
      <c r="K136" s="35"/>
    </row>
    <row r="137" spans="1:11" x14ac:dyDescent="0.2">
      <c r="A137" s="50"/>
      <c r="B137" s="21"/>
      <c r="C137" s="62" t="s">
        <v>293</v>
      </c>
      <c r="D137" s="62">
        <v>200</v>
      </c>
      <c r="E137" s="62" t="s">
        <v>3430</v>
      </c>
      <c r="F137" s="62">
        <v>200</v>
      </c>
      <c r="G137" s="21"/>
      <c r="H137" s="62" t="s">
        <v>3438</v>
      </c>
      <c r="I137" s="62"/>
      <c r="K137" s="35"/>
    </row>
    <row r="138" spans="1:11" x14ac:dyDescent="0.2">
      <c r="A138" s="50"/>
      <c r="B138" s="21"/>
      <c r="C138" s="62" t="s">
        <v>412</v>
      </c>
      <c r="D138" s="62">
        <v>500</v>
      </c>
      <c r="E138" s="62" t="s">
        <v>3431</v>
      </c>
      <c r="F138" s="62">
        <v>300</v>
      </c>
      <c r="G138" s="21"/>
      <c r="H138" s="62" t="s">
        <v>3439</v>
      </c>
      <c r="I138" s="62"/>
      <c r="K138" s="35"/>
    </row>
    <row r="139" spans="1:11" x14ac:dyDescent="0.2">
      <c r="A139" s="50"/>
      <c r="B139" s="21"/>
      <c r="C139" s="21"/>
      <c r="D139" s="21"/>
      <c r="E139" s="21"/>
      <c r="F139" s="21"/>
      <c r="G139" s="21"/>
      <c r="H139" s="62" t="s">
        <v>3440</v>
      </c>
      <c r="I139" s="62"/>
      <c r="K139" s="35"/>
    </row>
    <row r="140" spans="1:11" x14ac:dyDescent="0.2">
      <c r="A140" s="50"/>
      <c r="B140" s="21"/>
      <c r="C140" s="21"/>
      <c r="D140" s="21"/>
      <c r="E140" s="21"/>
      <c r="F140" s="21"/>
      <c r="G140" s="21"/>
      <c r="H140" s="21"/>
      <c r="I140" s="21"/>
      <c r="K140" s="35"/>
    </row>
    <row r="141" spans="1:11" x14ac:dyDescent="0.2">
      <c r="A141" s="90" t="s">
        <v>3441</v>
      </c>
      <c r="B141" s="21"/>
      <c r="C141" s="21"/>
      <c r="D141" s="21"/>
      <c r="E141" s="21"/>
      <c r="F141" s="21"/>
      <c r="G141" s="21"/>
      <c r="H141" s="21"/>
      <c r="I141" s="21"/>
      <c r="K141" s="35"/>
    </row>
    <row r="142" spans="1:11" x14ac:dyDescent="0.2">
      <c r="A142" s="50"/>
      <c r="B142" s="21"/>
      <c r="C142" s="21"/>
      <c r="D142" s="21"/>
      <c r="E142" s="21"/>
      <c r="F142" s="21"/>
      <c r="G142" s="21"/>
      <c r="H142" s="21"/>
      <c r="I142" s="21"/>
      <c r="K142" s="35"/>
    </row>
    <row r="143" spans="1:11" s="62" customFormat="1" x14ac:dyDescent="0.2">
      <c r="A143" s="90"/>
      <c r="B143" s="62" t="s">
        <v>3442</v>
      </c>
      <c r="D143" s="62">
        <v>700</v>
      </c>
      <c r="K143" s="91"/>
    </row>
    <row r="144" spans="1:11" s="62" customFormat="1" x14ac:dyDescent="0.2">
      <c r="A144" s="90"/>
      <c r="B144" s="62" t="s">
        <v>3443</v>
      </c>
      <c r="D144" s="62">
        <v>500</v>
      </c>
      <c r="F144" s="62" t="s">
        <v>3444</v>
      </c>
      <c r="K144" s="91"/>
    </row>
    <row r="145" spans="1:11" s="62" customFormat="1" x14ac:dyDescent="0.2">
      <c r="A145" s="90"/>
      <c r="B145" s="62" t="s">
        <v>3445</v>
      </c>
      <c r="D145" s="62">
        <f>D143-D144</f>
        <v>200</v>
      </c>
      <c r="F145" s="62" t="s">
        <v>3446</v>
      </c>
      <c r="K145" s="91"/>
    </row>
    <row r="146" spans="1:11" s="62" customFormat="1" x14ac:dyDescent="0.2">
      <c r="A146" s="90"/>
      <c r="K146" s="91"/>
    </row>
    <row r="147" spans="1:11" x14ac:dyDescent="0.2">
      <c r="A147" s="90" t="s">
        <v>3447</v>
      </c>
      <c r="B147" s="21"/>
      <c r="C147" s="21"/>
      <c r="D147" s="21"/>
      <c r="E147" s="21"/>
      <c r="F147" s="21"/>
      <c r="G147" s="21"/>
      <c r="H147" s="21"/>
      <c r="I147" s="21"/>
      <c r="K147" s="35"/>
    </row>
    <row r="148" spans="1:11" x14ac:dyDescent="0.2">
      <c r="A148" s="50"/>
      <c r="B148" s="62" t="s">
        <v>3448</v>
      </c>
      <c r="C148" s="62"/>
      <c r="D148" s="62">
        <f>240-200</f>
        <v>40</v>
      </c>
      <c r="E148" s="62"/>
      <c r="F148" s="62" t="s">
        <v>3449</v>
      </c>
      <c r="G148" s="21"/>
      <c r="H148" s="21"/>
      <c r="I148" s="21"/>
      <c r="K148" s="35"/>
    </row>
    <row r="149" spans="1:11" x14ac:dyDescent="0.2">
      <c r="A149" s="50"/>
      <c r="B149" s="62" t="s">
        <v>3450</v>
      </c>
      <c r="C149" s="62"/>
      <c r="D149" s="62">
        <f>530-500</f>
        <v>30</v>
      </c>
      <c r="E149" s="62"/>
      <c r="F149" s="62" t="s">
        <v>3451</v>
      </c>
      <c r="G149" s="21"/>
      <c r="H149" s="21"/>
      <c r="I149" s="21"/>
      <c r="K149" s="35"/>
    </row>
    <row r="150" spans="1:11" x14ac:dyDescent="0.2">
      <c r="A150" s="50"/>
      <c r="B150" s="19" t="s">
        <v>3452</v>
      </c>
      <c r="C150" s="19"/>
      <c r="D150" s="308">
        <f>D151-D149-D148</f>
        <v>130</v>
      </c>
      <c r="E150" s="62"/>
      <c r="F150" s="62"/>
      <c r="G150" s="21"/>
      <c r="H150" s="21"/>
      <c r="I150" s="21"/>
      <c r="K150" s="35"/>
    </row>
    <row r="151" spans="1:11" x14ac:dyDescent="0.2">
      <c r="A151" s="50"/>
      <c r="B151" s="62" t="s">
        <v>3453</v>
      </c>
      <c r="C151" s="21"/>
      <c r="D151" s="62">
        <f>D145</f>
        <v>200</v>
      </c>
      <c r="E151" s="62" t="s">
        <v>3454</v>
      </c>
      <c r="F151" s="21"/>
      <c r="G151" s="21"/>
      <c r="H151" s="21"/>
      <c r="I151" s="21"/>
      <c r="K151" s="35"/>
    </row>
    <row r="152" spans="1:11" x14ac:dyDescent="0.2">
      <c r="A152" s="50"/>
      <c r="B152" s="21"/>
      <c r="C152" s="21"/>
      <c r="D152" s="21"/>
      <c r="E152" s="21"/>
      <c r="F152" s="21"/>
      <c r="G152" s="21"/>
      <c r="H152" s="21"/>
      <c r="I152" s="21"/>
      <c r="K152" s="35"/>
    </row>
    <row r="153" spans="1:11" x14ac:dyDescent="0.2">
      <c r="A153" s="90" t="s">
        <v>3455</v>
      </c>
      <c r="B153" s="21"/>
      <c r="C153" s="21"/>
      <c r="D153" s="21"/>
      <c r="E153" s="21"/>
      <c r="F153" s="21"/>
      <c r="G153" s="21"/>
      <c r="H153" s="21"/>
      <c r="I153" s="21"/>
      <c r="K153" s="35"/>
    </row>
    <row r="154" spans="1:11" ht="17" thickBot="1" x14ac:dyDescent="0.25">
      <c r="A154" s="36" t="s">
        <v>3456</v>
      </c>
      <c r="B154" s="37"/>
      <c r="C154" s="37"/>
      <c r="D154" s="37"/>
      <c r="E154" s="37"/>
      <c r="F154" s="37"/>
      <c r="G154" s="37"/>
      <c r="H154" s="37"/>
      <c r="I154" s="37"/>
      <c r="J154" s="37"/>
      <c r="K154" s="38"/>
    </row>
    <row r="156" spans="1:11" x14ac:dyDescent="0.2">
      <c r="A156" s="1" t="s">
        <v>500</v>
      </c>
    </row>
    <row r="157" spans="1:11" x14ac:dyDescent="0.2">
      <c r="B157" s="1" t="s">
        <v>501</v>
      </c>
    </row>
    <row r="158" spans="1:11" x14ac:dyDescent="0.2">
      <c r="B158" s="1" t="s">
        <v>502</v>
      </c>
    </row>
    <row r="159" spans="1:11" x14ac:dyDescent="0.2">
      <c r="B159" s="1" t="s">
        <v>503</v>
      </c>
    </row>
    <row r="161" spans="2:2" x14ac:dyDescent="0.2">
      <c r="B161" s="3" t="s">
        <v>2821</v>
      </c>
    </row>
    <row r="162" spans="2:2" x14ac:dyDescent="0.2">
      <c r="B162" s="3" t="s">
        <v>2822</v>
      </c>
    </row>
    <row r="163" spans="2:2" x14ac:dyDescent="0.2">
      <c r="B163" s="3" t="s">
        <v>3457</v>
      </c>
    </row>
    <row r="164" spans="2:2" x14ac:dyDescent="0.2">
      <c r="B164" s="3" t="s">
        <v>2823</v>
      </c>
    </row>
    <row r="166" spans="2:2" x14ac:dyDescent="0.2">
      <c r="B166" s="1" t="s">
        <v>2824</v>
      </c>
    </row>
    <row r="167" spans="2:2" x14ac:dyDescent="0.2">
      <c r="B167" s="1" t="s">
        <v>2825</v>
      </c>
    </row>
    <row r="168" spans="2:2" s="62" customFormat="1" x14ac:dyDescent="0.2"/>
    <row r="169" spans="2:2" s="62" customFormat="1" x14ac:dyDescent="0.2">
      <c r="B169" s="62" t="s">
        <v>2826</v>
      </c>
    </row>
    <row r="170" spans="2:2" s="62" customFormat="1" x14ac:dyDescent="0.2">
      <c r="B170" s="62" t="s">
        <v>2827</v>
      </c>
    </row>
    <row r="171" spans="2:2" s="62" customFormat="1" x14ac:dyDescent="0.2">
      <c r="B171" s="62" t="s">
        <v>2828</v>
      </c>
    </row>
    <row r="172" spans="2:2" s="62" customFormat="1" x14ac:dyDescent="0.2"/>
    <row r="173" spans="2:2" s="62" customFormat="1" x14ac:dyDescent="0.2">
      <c r="B173" s="62" t="s">
        <v>504</v>
      </c>
    </row>
    <row r="174" spans="2:2" s="62" customFormat="1" x14ac:dyDescent="0.2">
      <c r="B174" s="62" t="s">
        <v>505</v>
      </c>
    </row>
    <row r="175" spans="2:2" s="62" customFormat="1" x14ac:dyDescent="0.2">
      <c r="B175" s="62" t="s">
        <v>506</v>
      </c>
    </row>
    <row r="176" spans="2:2" s="62" customFormat="1" x14ac:dyDescent="0.2"/>
    <row r="177" spans="1:9" x14ac:dyDescent="0.2">
      <c r="B177" s="1" t="s">
        <v>2829</v>
      </c>
    </row>
    <row r="180" spans="1:9" x14ac:dyDescent="0.2">
      <c r="A180" s="65" t="s">
        <v>2854</v>
      </c>
      <c r="B180" s="65"/>
      <c r="C180" s="65"/>
      <c r="D180" s="65"/>
      <c r="E180" s="65"/>
      <c r="F180" s="65"/>
      <c r="G180" s="65"/>
      <c r="H180" s="65"/>
      <c r="I180" s="65"/>
    </row>
    <row r="181" spans="1:9" x14ac:dyDescent="0.2">
      <c r="A181" s="1" t="s">
        <v>2830</v>
      </c>
    </row>
    <row r="182" spans="1:9" x14ac:dyDescent="0.2">
      <c r="A182" s="1" t="s">
        <v>2832</v>
      </c>
    </row>
    <row r="183" spans="1:9" x14ac:dyDescent="0.2">
      <c r="A183" s="1" t="s">
        <v>2831</v>
      </c>
    </row>
    <row r="185" spans="1:9" x14ac:dyDescent="0.2">
      <c r="A185" s="65" t="s">
        <v>2855</v>
      </c>
      <c r="B185" s="65"/>
      <c r="C185" s="65"/>
      <c r="D185" s="65"/>
      <c r="E185" s="65"/>
      <c r="F185" s="65"/>
      <c r="G185" s="65"/>
      <c r="H185" s="65"/>
      <c r="I185" s="65"/>
    </row>
    <row r="186" spans="1:9" x14ac:dyDescent="0.2">
      <c r="A186" s="1" t="s">
        <v>507</v>
      </c>
    </row>
    <row r="187" spans="1:9" x14ac:dyDescent="0.2">
      <c r="B187" s="1" t="s">
        <v>508</v>
      </c>
    </row>
    <row r="188" spans="1:9" x14ac:dyDescent="0.2">
      <c r="B188" s="1" t="s">
        <v>509</v>
      </c>
    </row>
    <row r="189" spans="1:9" ht="26" x14ac:dyDescent="0.3">
      <c r="B189" s="1" t="s">
        <v>616</v>
      </c>
    </row>
    <row r="190" spans="1:9" x14ac:dyDescent="0.2">
      <c r="B190" s="1" t="s">
        <v>510</v>
      </c>
    </row>
    <row r="191" spans="1:9" x14ac:dyDescent="0.2">
      <c r="B191" s="1" t="s">
        <v>511</v>
      </c>
    </row>
    <row r="195" spans="2:8" x14ac:dyDescent="0.2">
      <c r="B195" s="1" t="s">
        <v>2838</v>
      </c>
      <c r="C195" s="1" t="s">
        <v>2845</v>
      </c>
      <c r="D195" s="3" t="s">
        <v>2848</v>
      </c>
      <c r="E195" s="3"/>
      <c r="F195" s="3" t="s">
        <v>2847</v>
      </c>
      <c r="G195" s="1" t="s">
        <v>2844</v>
      </c>
      <c r="H195" s="1" t="s">
        <v>2846</v>
      </c>
    </row>
    <row r="196" spans="2:8" x14ac:dyDescent="0.2">
      <c r="B196" s="1" t="s">
        <v>2833</v>
      </c>
      <c r="G196" s="1" t="s">
        <v>2839</v>
      </c>
    </row>
    <row r="197" spans="2:8" x14ac:dyDescent="0.2">
      <c r="B197" s="1" t="s">
        <v>2834</v>
      </c>
      <c r="G197" s="1" t="s">
        <v>2840</v>
      </c>
    </row>
    <row r="198" spans="2:8" x14ac:dyDescent="0.2">
      <c r="B198" s="1" t="s">
        <v>2835</v>
      </c>
      <c r="G198" s="1" t="s">
        <v>2841</v>
      </c>
    </row>
    <row r="199" spans="2:8" x14ac:dyDescent="0.2">
      <c r="B199" s="1" t="s">
        <v>2836</v>
      </c>
      <c r="G199" s="1" t="s">
        <v>2842</v>
      </c>
    </row>
    <row r="200" spans="2:8" x14ac:dyDescent="0.2">
      <c r="B200" s="1" t="s">
        <v>2837</v>
      </c>
      <c r="G200" s="1" t="s">
        <v>2843</v>
      </c>
    </row>
    <row r="204" spans="2:8" x14ac:dyDescent="0.2">
      <c r="B204" s="3" t="s">
        <v>513</v>
      </c>
      <c r="G204" s="3" t="s">
        <v>512</v>
      </c>
    </row>
    <row r="205" spans="2:8" x14ac:dyDescent="0.2">
      <c r="B205" s="1" t="s">
        <v>514</v>
      </c>
      <c r="H205" s="1" t="s">
        <v>2849</v>
      </c>
    </row>
    <row r="206" spans="2:8" x14ac:dyDescent="0.2">
      <c r="B206" s="1" t="s">
        <v>516</v>
      </c>
      <c r="F206" s="1" t="s">
        <v>517</v>
      </c>
      <c r="H206" s="1" t="s">
        <v>515</v>
      </c>
    </row>
    <row r="207" spans="2:8" x14ac:dyDescent="0.2">
      <c r="B207" s="1" t="s">
        <v>518</v>
      </c>
    </row>
    <row r="209" spans="1:9" x14ac:dyDescent="0.2">
      <c r="B209" s="1" t="s">
        <v>519</v>
      </c>
    </row>
    <row r="210" spans="1:9" x14ac:dyDescent="0.2">
      <c r="B210" s="1" t="s">
        <v>520</v>
      </c>
    </row>
    <row r="212" spans="1:9" s="21" customFormat="1" x14ac:dyDescent="0.2">
      <c r="A212" s="8" t="s">
        <v>495</v>
      </c>
      <c r="B212" s="8" t="s">
        <v>617</v>
      </c>
      <c r="C212" s="8"/>
      <c r="D212" s="8"/>
      <c r="E212" s="8"/>
      <c r="F212" s="8"/>
      <c r="G212" s="8"/>
    </row>
    <row r="213" spans="1:9" s="21" customFormat="1" x14ac:dyDescent="0.2"/>
    <row r="214" spans="1:9" s="21" customFormat="1" x14ac:dyDescent="0.2">
      <c r="C214" s="21" t="s">
        <v>2850</v>
      </c>
      <c r="I214" s="1"/>
    </row>
    <row r="215" spans="1:9" s="21" customFormat="1" x14ac:dyDescent="0.2">
      <c r="C215" s="21" t="s">
        <v>2851</v>
      </c>
    </row>
    <row r="216" spans="1:9" s="21" customFormat="1" x14ac:dyDescent="0.2">
      <c r="C216" s="21" t="s">
        <v>2852</v>
      </c>
    </row>
    <row r="217" spans="1:9" s="21" customFormat="1" x14ac:dyDescent="0.2"/>
    <row r="218" spans="1:9" s="21" customFormat="1" ht="23" x14ac:dyDescent="0.25">
      <c r="A218" s="309" t="s">
        <v>3458</v>
      </c>
    </row>
    <row r="219" spans="1:9" s="21" customFormat="1" x14ac:dyDescent="0.2"/>
    <row r="220" spans="1:9" s="21" customFormat="1" x14ac:dyDescent="0.2"/>
    <row r="221" spans="1:9" s="21" customFormat="1" x14ac:dyDescent="0.2"/>
  </sheetData>
  <mergeCells count="15">
    <mergeCell ref="A1:I1"/>
    <mergeCell ref="C89:D89"/>
    <mergeCell ref="A11:E11"/>
    <mergeCell ref="F11:J11"/>
    <mergeCell ref="F12:J15"/>
    <mergeCell ref="F16:J17"/>
    <mergeCell ref="F18:J21"/>
    <mergeCell ref="F22:J23"/>
    <mergeCell ref="K20:P21"/>
    <mergeCell ref="K22:P22"/>
    <mergeCell ref="K23:P23"/>
    <mergeCell ref="K12:P13"/>
    <mergeCell ref="K14:P15"/>
    <mergeCell ref="K17:P17"/>
    <mergeCell ref="K18:P19"/>
  </mergeCells>
  <pageMargins left="0.7" right="0.7" top="0.75" bottom="0.75" header="0.3" footer="0.3"/>
  <pageSetup paperSize="9" orientation="portrait" horizontalDpi="0" verticalDpi="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8F127-7F34-274B-B21B-10116DB37507}">
  <dimension ref="A1:K1120"/>
  <sheetViews>
    <sheetView rightToLeft="1" topLeftCell="A1087" zoomScale="400" zoomScaleNormal="380" workbookViewId="0">
      <selection activeCell="E1055" sqref="E1055"/>
    </sheetView>
  </sheetViews>
  <sheetFormatPr baseColWidth="10" defaultRowHeight="16" x14ac:dyDescent="0.2"/>
  <cols>
    <col min="1" max="16384" width="10.83203125" style="1"/>
  </cols>
  <sheetData>
    <row r="1" spans="1:9" ht="23" x14ac:dyDescent="0.25">
      <c r="A1" s="352" t="s">
        <v>3459</v>
      </c>
      <c r="B1" s="352"/>
      <c r="C1" s="352"/>
      <c r="D1" s="352"/>
      <c r="E1" s="352"/>
      <c r="F1" s="352"/>
      <c r="G1" s="352"/>
      <c r="H1" s="352"/>
      <c r="I1" s="352"/>
    </row>
    <row r="2" spans="1:9" ht="17" thickBot="1" x14ac:dyDescent="0.25"/>
    <row r="3" spans="1:9" x14ac:dyDescent="0.2">
      <c r="A3" s="310" t="s">
        <v>3460</v>
      </c>
      <c r="B3" s="311"/>
      <c r="C3" s="311"/>
      <c r="D3" s="311"/>
      <c r="E3" s="311"/>
      <c r="F3" s="311"/>
      <c r="G3" s="311"/>
      <c r="H3" s="311"/>
      <c r="I3" s="312"/>
    </row>
    <row r="4" spans="1:9" x14ac:dyDescent="0.2">
      <c r="A4" s="34" t="s">
        <v>3461</v>
      </c>
      <c r="I4" s="35"/>
    </row>
    <row r="5" spans="1:9" x14ac:dyDescent="0.2">
      <c r="A5" s="34" t="s">
        <v>3462</v>
      </c>
      <c r="I5" s="35"/>
    </row>
    <row r="6" spans="1:9" x14ac:dyDescent="0.2">
      <c r="A6" s="34" t="s">
        <v>3463</v>
      </c>
      <c r="I6" s="35"/>
    </row>
    <row r="7" spans="1:9" x14ac:dyDescent="0.2">
      <c r="A7" s="34"/>
      <c r="I7" s="35"/>
    </row>
    <row r="8" spans="1:9" x14ac:dyDescent="0.2">
      <c r="A8" s="34" t="s">
        <v>3464</v>
      </c>
      <c r="I8" s="35"/>
    </row>
    <row r="9" spans="1:9" x14ac:dyDescent="0.2">
      <c r="A9" s="34" t="s">
        <v>3465</v>
      </c>
      <c r="I9" s="35"/>
    </row>
    <row r="10" spans="1:9" x14ac:dyDescent="0.2">
      <c r="A10" s="34" t="s">
        <v>3466</v>
      </c>
      <c r="I10" s="35"/>
    </row>
    <row r="11" spans="1:9" x14ac:dyDescent="0.2">
      <c r="A11" s="34"/>
      <c r="I11" s="35"/>
    </row>
    <row r="12" spans="1:9" x14ac:dyDescent="0.2">
      <c r="A12" s="34" t="s">
        <v>3467</v>
      </c>
      <c r="I12" s="35"/>
    </row>
    <row r="13" spans="1:9" x14ac:dyDescent="0.2">
      <c r="A13" s="34" t="s">
        <v>3468</v>
      </c>
      <c r="I13" s="35"/>
    </row>
    <row r="14" spans="1:9" x14ac:dyDescent="0.2">
      <c r="A14" s="34"/>
      <c r="I14" s="35"/>
    </row>
    <row r="15" spans="1:9" x14ac:dyDescent="0.2">
      <c r="A15" s="34" t="s">
        <v>3469</v>
      </c>
      <c r="I15" s="35"/>
    </row>
    <row r="16" spans="1:9" ht="17" thickBot="1" x14ac:dyDescent="0.25">
      <c r="A16" s="36" t="s">
        <v>3470</v>
      </c>
      <c r="B16" s="37"/>
      <c r="C16" s="37"/>
      <c r="D16" s="37"/>
      <c r="E16" s="37"/>
      <c r="F16" s="37"/>
      <c r="G16" s="37"/>
      <c r="H16" s="37"/>
      <c r="I16" s="38"/>
    </row>
    <row r="18" spans="1:9" x14ac:dyDescent="0.2">
      <c r="A18" s="65" t="s">
        <v>521</v>
      </c>
      <c r="B18" s="65"/>
      <c r="C18" s="65"/>
      <c r="D18" s="65"/>
      <c r="E18" s="65"/>
      <c r="F18" s="65"/>
      <c r="G18" s="65"/>
      <c r="H18" s="65"/>
      <c r="I18" s="65"/>
    </row>
    <row r="19" spans="1:9" x14ac:dyDescent="0.2">
      <c r="A19" s="1" t="s">
        <v>522</v>
      </c>
    </row>
    <row r="20" spans="1:9" x14ac:dyDescent="0.2">
      <c r="B20" s="1" t="s">
        <v>523</v>
      </c>
    </row>
    <row r="21" spans="1:9" ht="17" thickBot="1" x14ac:dyDescent="0.25">
      <c r="B21" s="1" t="s">
        <v>524</v>
      </c>
    </row>
    <row r="22" spans="1:9" x14ac:dyDescent="0.2">
      <c r="B22" s="70" t="s">
        <v>525</v>
      </c>
      <c r="C22" s="71"/>
      <c r="D22" s="71"/>
      <c r="E22" s="71"/>
      <c r="F22" s="71"/>
      <c r="G22" s="71"/>
      <c r="H22" s="71"/>
      <c r="I22" s="72"/>
    </row>
    <row r="23" spans="1:9" ht="17" thickBot="1" x14ac:dyDescent="0.25">
      <c r="B23" s="73" t="s">
        <v>526</v>
      </c>
      <c r="C23" s="74"/>
      <c r="D23" s="74"/>
      <c r="E23" s="74"/>
      <c r="F23" s="74"/>
      <c r="G23" s="74"/>
      <c r="H23" s="74"/>
      <c r="I23" s="75"/>
    </row>
    <row r="24" spans="1:9" x14ac:dyDescent="0.2">
      <c r="B24" s="1" t="s">
        <v>527</v>
      </c>
    </row>
    <row r="25" spans="1:9" x14ac:dyDescent="0.2">
      <c r="B25" s="1" t="s">
        <v>528</v>
      </c>
    </row>
    <row r="26" spans="1:9" x14ac:dyDescent="0.2">
      <c r="B26" s="1" t="s">
        <v>529</v>
      </c>
    </row>
    <row r="28" spans="1:9" ht="17" thickBot="1" x14ac:dyDescent="0.25">
      <c r="A28" s="1" t="s">
        <v>530</v>
      </c>
    </row>
    <row r="29" spans="1:9" x14ac:dyDescent="0.2">
      <c r="B29" s="46" t="s">
        <v>531</v>
      </c>
      <c r="C29" s="32"/>
      <c r="D29" s="32"/>
      <c r="E29" s="32"/>
      <c r="F29" s="32"/>
      <c r="G29" s="32"/>
      <c r="H29" s="32"/>
      <c r="I29" s="33"/>
    </row>
    <row r="30" spans="1:9" x14ac:dyDescent="0.2">
      <c r="B30" s="34" t="s">
        <v>532</v>
      </c>
      <c r="I30" s="35"/>
    </row>
    <row r="31" spans="1:9" ht="17" thickBot="1" x14ac:dyDescent="0.25">
      <c r="B31" s="36" t="s">
        <v>533</v>
      </c>
      <c r="C31" s="37"/>
      <c r="D31" s="37"/>
      <c r="E31" s="37"/>
      <c r="F31" s="37"/>
      <c r="G31" s="37"/>
      <c r="H31" s="37"/>
      <c r="I31" s="38"/>
    </row>
    <row r="33" spans="1:9" x14ac:dyDescent="0.2">
      <c r="B33" s="1" t="s">
        <v>3471</v>
      </c>
    </row>
    <row r="34" spans="1:9" x14ac:dyDescent="0.2">
      <c r="B34" s="1" t="s">
        <v>3472</v>
      </c>
    </row>
    <row r="35" spans="1:9" x14ac:dyDescent="0.2">
      <c r="B35" s="1" t="s">
        <v>3473</v>
      </c>
    </row>
    <row r="37" spans="1:9" ht="17" thickBot="1" x14ac:dyDescent="0.25">
      <c r="A37" s="1" t="s">
        <v>2856</v>
      </c>
    </row>
    <row r="38" spans="1:9" x14ac:dyDescent="0.2">
      <c r="B38" s="46" t="s">
        <v>2857</v>
      </c>
      <c r="C38" s="32"/>
      <c r="D38" s="32"/>
      <c r="E38" s="32"/>
      <c r="F38" s="32"/>
      <c r="G38" s="32"/>
      <c r="H38" s="32"/>
      <c r="I38" s="33"/>
    </row>
    <row r="39" spans="1:9" x14ac:dyDescent="0.2">
      <c r="B39" s="34" t="s">
        <v>2858</v>
      </c>
      <c r="I39" s="35"/>
    </row>
    <row r="40" spans="1:9" x14ac:dyDescent="0.2">
      <c r="B40" s="34" t="s">
        <v>2859</v>
      </c>
      <c r="I40" s="35"/>
    </row>
    <row r="41" spans="1:9" ht="17" thickBot="1" x14ac:dyDescent="0.25">
      <c r="B41" s="36" t="s">
        <v>2860</v>
      </c>
      <c r="C41" s="37"/>
      <c r="D41" s="37"/>
      <c r="E41" s="37"/>
      <c r="F41" s="37"/>
      <c r="G41" s="37"/>
      <c r="H41" s="37"/>
      <c r="I41" s="38"/>
    </row>
    <row r="42" spans="1:9" ht="17" thickBot="1" x14ac:dyDescent="0.25"/>
    <row r="43" spans="1:9" x14ac:dyDescent="0.2">
      <c r="B43" s="46" t="s">
        <v>2863</v>
      </c>
      <c r="C43" s="32"/>
      <c r="D43" s="32"/>
      <c r="E43" s="32"/>
      <c r="F43" s="32"/>
      <c r="G43" s="32"/>
      <c r="H43" s="32"/>
      <c r="I43" s="33"/>
    </row>
    <row r="44" spans="1:9" x14ac:dyDescent="0.2">
      <c r="B44" s="34" t="s">
        <v>2861</v>
      </c>
      <c r="I44" s="35"/>
    </row>
    <row r="45" spans="1:9" ht="17" thickBot="1" x14ac:dyDescent="0.25">
      <c r="B45" s="36" t="s">
        <v>2862</v>
      </c>
      <c r="C45" s="37"/>
      <c r="D45" s="37"/>
      <c r="E45" s="37"/>
      <c r="F45" s="37"/>
      <c r="G45" s="37"/>
      <c r="H45" s="37"/>
      <c r="I45" s="38"/>
    </row>
    <row r="46" spans="1:9" ht="17" thickBot="1" x14ac:dyDescent="0.25"/>
    <row r="47" spans="1:9" x14ac:dyDescent="0.2">
      <c r="A47" s="46" t="s">
        <v>534</v>
      </c>
      <c r="B47" s="32"/>
      <c r="C47" s="32"/>
      <c r="D47" s="32"/>
      <c r="E47" s="32"/>
      <c r="F47" s="32"/>
      <c r="G47" s="32"/>
      <c r="H47" s="32"/>
      <c r="I47" s="33"/>
    </row>
    <row r="48" spans="1:9" x14ac:dyDescent="0.2">
      <c r="A48" s="34"/>
      <c r="B48" s="1" t="s">
        <v>535</v>
      </c>
      <c r="I48" s="35"/>
    </row>
    <row r="49" spans="1:9" x14ac:dyDescent="0.2">
      <c r="A49" s="34"/>
      <c r="B49" s="1" t="s">
        <v>536</v>
      </c>
      <c r="I49" s="35"/>
    </row>
    <row r="50" spans="1:9" x14ac:dyDescent="0.2">
      <c r="A50" s="34"/>
      <c r="B50" s="1" t="s">
        <v>537</v>
      </c>
      <c r="I50" s="35"/>
    </row>
    <row r="51" spans="1:9" x14ac:dyDescent="0.2">
      <c r="A51" s="34"/>
      <c r="B51" s="1" t="s">
        <v>538</v>
      </c>
      <c r="I51" s="35"/>
    </row>
    <row r="52" spans="1:9" x14ac:dyDescent="0.2">
      <c r="A52" s="34"/>
      <c r="B52" s="1" t="s">
        <v>2864</v>
      </c>
      <c r="I52" s="35"/>
    </row>
    <row r="53" spans="1:9" x14ac:dyDescent="0.2">
      <c r="A53" s="34"/>
      <c r="B53" s="1" t="s">
        <v>539</v>
      </c>
      <c r="I53" s="35"/>
    </row>
    <row r="54" spans="1:9" x14ac:dyDescent="0.2">
      <c r="A54" s="34"/>
      <c r="B54" s="1" t="s">
        <v>540</v>
      </c>
      <c r="I54" s="35"/>
    </row>
    <row r="55" spans="1:9" ht="17" thickBot="1" x14ac:dyDescent="0.25">
      <c r="A55" s="36"/>
      <c r="B55" s="37" t="s">
        <v>541</v>
      </c>
      <c r="C55" s="37"/>
      <c r="D55" s="37"/>
      <c r="E55" s="37"/>
      <c r="F55" s="37"/>
      <c r="G55" s="37"/>
      <c r="H55" s="37"/>
      <c r="I55" s="38"/>
    </row>
    <row r="56" spans="1:9" ht="17" thickBot="1" x14ac:dyDescent="0.25"/>
    <row r="57" spans="1:9" x14ac:dyDescent="0.2">
      <c r="A57" s="46" t="s">
        <v>542</v>
      </c>
      <c r="B57" s="32"/>
      <c r="C57" s="32"/>
      <c r="D57" s="32"/>
      <c r="E57" s="32"/>
      <c r="F57" s="32"/>
      <c r="G57" s="32"/>
      <c r="H57" s="32"/>
      <c r="I57" s="33"/>
    </row>
    <row r="58" spans="1:9" x14ac:dyDescent="0.2">
      <c r="A58" s="34"/>
      <c r="B58" s="1" t="s">
        <v>543</v>
      </c>
      <c r="I58" s="35"/>
    </row>
    <row r="59" spans="1:9" x14ac:dyDescent="0.2">
      <c r="A59" s="34"/>
      <c r="B59" s="1" t="s">
        <v>2865</v>
      </c>
      <c r="I59" s="35"/>
    </row>
    <row r="60" spans="1:9" x14ac:dyDescent="0.2">
      <c r="A60" s="34"/>
      <c r="B60" s="1" t="s">
        <v>544</v>
      </c>
      <c r="I60" s="35"/>
    </row>
    <row r="61" spans="1:9" x14ac:dyDescent="0.2">
      <c r="A61" s="34"/>
      <c r="B61" s="1" t="s">
        <v>545</v>
      </c>
      <c r="I61" s="35"/>
    </row>
    <row r="62" spans="1:9" ht="17" thickBot="1" x14ac:dyDescent="0.25">
      <c r="A62" s="36"/>
      <c r="B62" s="37" t="s">
        <v>546</v>
      </c>
      <c r="C62" s="37"/>
      <c r="D62" s="37"/>
      <c r="E62" s="37"/>
      <c r="F62" s="37"/>
      <c r="G62" s="37"/>
      <c r="H62" s="37"/>
      <c r="I62" s="38"/>
    </row>
    <row r="63" spans="1:9" ht="17" thickBot="1" x14ac:dyDescent="0.25"/>
    <row r="64" spans="1:9" x14ac:dyDescent="0.2">
      <c r="A64" s="225" t="s">
        <v>547</v>
      </c>
      <c r="B64" s="76"/>
      <c r="C64" s="76"/>
      <c r="D64" s="76"/>
      <c r="E64" s="76"/>
      <c r="F64" s="76"/>
      <c r="G64" s="76"/>
      <c r="H64" s="76"/>
      <c r="I64" s="77"/>
    </row>
    <row r="65" spans="1:9" x14ac:dyDescent="0.2">
      <c r="A65" s="226" t="s">
        <v>548</v>
      </c>
      <c r="B65" s="3"/>
      <c r="C65" s="3"/>
      <c r="D65" s="3"/>
      <c r="E65" s="3"/>
      <c r="F65" s="3"/>
      <c r="G65" s="3"/>
      <c r="H65" s="3"/>
      <c r="I65" s="79"/>
    </row>
    <row r="66" spans="1:9" ht="17" thickBot="1" x14ac:dyDescent="0.25">
      <c r="A66" s="227" t="s">
        <v>549</v>
      </c>
      <c r="B66" s="81"/>
      <c r="C66" s="81"/>
      <c r="D66" s="81"/>
      <c r="E66" s="81"/>
      <c r="F66" s="81"/>
      <c r="G66" s="81"/>
      <c r="H66" s="81"/>
      <c r="I66" s="82"/>
    </row>
    <row r="74" spans="1:9" x14ac:dyDescent="0.2">
      <c r="A74" s="1" t="s">
        <v>2866</v>
      </c>
    </row>
    <row r="75" spans="1:9" x14ac:dyDescent="0.2">
      <c r="A75" s="1" t="s">
        <v>2867</v>
      </c>
    </row>
    <row r="77" spans="1:9" x14ac:dyDescent="0.2">
      <c r="A77" s="30" t="s">
        <v>550</v>
      </c>
      <c r="B77" s="65"/>
      <c r="C77" s="65"/>
      <c r="D77" s="65"/>
      <c r="E77" s="65"/>
      <c r="F77" s="65"/>
      <c r="G77" s="65"/>
      <c r="H77" s="65"/>
      <c r="I77" s="65"/>
    </row>
    <row r="78" spans="1:9" x14ac:dyDescent="0.2">
      <c r="A78" s="1" t="s">
        <v>551</v>
      </c>
    </row>
    <row r="79" spans="1:9" x14ac:dyDescent="0.2">
      <c r="B79" s="1" t="s">
        <v>552</v>
      </c>
    </row>
    <row r="80" spans="1:9" x14ac:dyDescent="0.2">
      <c r="B80" s="1" t="s">
        <v>2868</v>
      </c>
    </row>
    <row r="81" spans="1:2" x14ac:dyDescent="0.2">
      <c r="B81" s="1" t="s">
        <v>2869</v>
      </c>
    </row>
    <row r="83" spans="1:2" x14ac:dyDescent="0.2">
      <c r="A83" s="1" t="s">
        <v>553</v>
      </c>
    </row>
    <row r="84" spans="1:2" x14ac:dyDescent="0.2">
      <c r="B84" s="1" t="s">
        <v>554</v>
      </c>
    </row>
    <row r="85" spans="1:2" x14ac:dyDescent="0.2">
      <c r="B85" s="1" t="s">
        <v>555</v>
      </c>
    </row>
    <row r="86" spans="1:2" x14ac:dyDescent="0.2">
      <c r="B86" s="1" t="s">
        <v>556</v>
      </c>
    </row>
    <row r="88" spans="1:2" x14ac:dyDescent="0.2">
      <c r="A88" s="1" t="s">
        <v>557</v>
      </c>
    </row>
    <row r="89" spans="1:2" x14ac:dyDescent="0.2">
      <c r="B89" s="1" t="s">
        <v>558</v>
      </c>
    </row>
    <row r="90" spans="1:2" x14ac:dyDescent="0.2">
      <c r="B90" s="1" t="s">
        <v>559</v>
      </c>
    </row>
    <row r="91" spans="1:2" x14ac:dyDescent="0.2">
      <c r="B91" s="1" t="s">
        <v>560</v>
      </c>
    </row>
    <row r="93" spans="1:2" x14ac:dyDescent="0.2">
      <c r="B93" s="8" t="s">
        <v>2870</v>
      </c>
    </row>
    <row r="95" spans="1:2" x14ac:dyDescent="0.2">
      <c r="B95" s="1" t="s">
        <v>561</v>
      </c>
    </row>
    <row r="96" spans="1:2" x14ac:dyDescent="0.2">
      <c r="B96" s="1" t="s">
        <v>562</v>
      </c>
    </row>
    <row r="97" spans="1:9" x14ac:dyDescent="0.2">
      <c r="B97" s="1" t="s">
        <v>563</v>
      </c>
    </row>
    <row r="99" spans="1:9" x14ac:dyDescent="0.2">
      <c r="A99" s="65" t="s">
        <v>564</v>
      </c>
      <c r="B99" s="65"/>
      <c r="C99" s="65"/>
      <c r="D99" s="65"/>
      <c r="E99" s="65"/>
      <c r="F99" s="65"/>
      <c r="G99" s="65"/>
      <c r="H99" s="65"/>
      <c r="I99" s="65"/>
    </row>
    <row r="101" spans="1:9" x14ac:dyDescent="0.2">
      <c r="A101" s="1" t="s">
        <v>2871</v>
      </c>
    </row>
    <row r="103" spans="1:9" x14ac:dyDescent="0.2">
      <c r="B103" s="228" t="s">
        <v>2875</v>
      </c>
      <c r="G103" s="1" t="s">
        <v>2876</v>
      </c>
    </row>
    <row r="104" spans="1:9" x14ac:dyDescent="0.2">
      <c r="G104" s="1" t="s">
        <v>2877</v>
      </c>
    </row>
    <row r="109" spans="1:9" x14ac:dyDescent="0.2">
      <c r="B109" s="1" t="s">
        <v>2872</v>
      </c>
    </row>
    <row r="110" spans="1:9" x14ac:dyDescent="0.2">
      <c r="B110" s="1" t="s">
        <v>2873</v>
      </c>
    </row>
    <row r="111" spans="1:9" x14ac:dyDescent="0.2">
      <c r="B111" s="1" t="s">
        <v>2874</v>
      </c>
    </row>
    <row r="114" spans="1:9" ht="17" thickBot="1" x14ac:dyDescent="0.25">
      <c r="A114" s="3" t="s">
        <v>2878</v>
      </c>
    </row>
    <row r="115" spans="1:9" x14ac:dyDescent="0.2">
      <c r="G115" s="46" t="s">
        <v>2885</v>
      </c>
      <c r="H115" s="32"/>
      <c r="I115" s="33"/>
    </row>
    <row r="116" spans="1:9" x14ac:dyDescent="0.2">
      <c r="G116" s="34" t="s">
        <v>2879</v>
      </c>
      <c r="I116" s="35"/>
    </row>
    <row r="117" spans="1:9" x14ac:dyDescent="0.2">
      <c r="G117" s="34" t="s">
        <v>2880</v>
      </c>
      <c r="I117" s="35"/>
    </row>
    <row r="118" spans="1:9" x14ac:dyDescent="0.2">
      <c r="G118" s="34" t="s">
        <v>2881</v>
      </c>
      <c r="I118" s="35"/>
    </row>
    <row r="119" spans="1:9" x14ac:dyDescent="0.2">
      <c r="G119" s="34"/>
      <c r="I119" s="35"/>
    </row>
    <row r="120" spans="1:9" x14ac:dyDescent="0.2">
      <c r="G120" s="34" t="s">
        <v>2882</v>
      </c>
      <c r="I120" s="35"/>
    </row>
    <row r="121" spans="1:9" x14ac:dyDescent="0.2">
      <c r="G121" s="34" t="s">
        <v>2883</v>
      </c>
      <c r="I121" s="35"/>
    </row>
    <row r="122" spans="1:9" ht="17" thickBot="1" x14ac:dyDescent="0.25">
      <c r="G122" s="36" t="s">
        <v>2884</v>
      </c>
      <c r="H122" s="37"/>
      <c r="I122" s="38"/>
    </row>
    <row r="125" spans="1:9" ht="17" thickBot="1" x14ac:dyDescent="0.25"/>
    <row r="126" spans="1:9" x14ac:dyDescent="0.2">
      <c r="A126" s="46" t="s">
        <v>565</v>
      </c>
      <c r="B126" s="32"/>
      <c r="C126" s="32"/>
      <c r="D126" s="32"/>
      <c r="E126" s="32"/>
      <c r="F126" s="32"/>
      <c r="G126" s="32"/>
      <c r="H126" s="32"/>
      <c r="I126" s="33"/>
    </row>
    <row r="127" spans="1:9" x14ac:dyDescent="0.2">
      <c r="A127" s="34"/>
      <c r="B127" s="1" t="s">
        <v>566</v>
      </c>
      <c r="I127" s="35"/>
    </row>
    <row r="128" spans="1:9" x14ac:dyDescent="0.2">
      <c r="A128" s="34"/>
      <c r="B128" s="1" t="s">
        <v>567</v>
      </c>
      <c r="I128" s="35"/>
    </row>
    <row r="129" spans="1:9" x14ac:dyDescent="0.2">
      <c r="A129" s="34"/>
      <c r="B129" s="8" t="s">
        <v>2886</v>
      </c>
      <c r="I129" s="35"/>
    </row>
    <row r="130" spans="1:9" x14ac:dyDescent="0.2">
      <c r="A130" s="34"/>
      <c r="B130" s="8" t="s">
        <v>2887</v>
      </c>
      <c r="I130" s="35"/>
    </row>
    <row r="131" spans="1:9" x14ac:dyDescent="0.2">
      <c r="A131" s="34"/>
      <c r="B131" s="1" t="s">
        <v>568</v>
      </c>
      <c r="I131" s="35"/>
    </row>
    <row r="132" spans="1:9" x14ac:dyDescent="0.2">
      <c r="A132" s="34"/>
      <c r="B132" s="1" t="s">
        <v>569</v>
      </c>
      <c r="I132" s="35"/>
    </row>
    <row r="133" spans="1:9" x14ac:dyDescent="0.2">
      <c r="A133" s="34"/>
      <c r="B133" s="1" t="s">
        <v>570</v>
      </c>
      <c r="I133" s="35"/>
    </row>
    <row r="134" spans="1:9" ht="17" thickBot="1" x14ac:dyDescent="0.25">
      <c r="A134" s="36"/>
      <c r="B134" s="37" t="s">
        <v>571</v>
      </c>
      <c r="C134" s="37"/>
      <c r="D134" s="37"/>
      <c r="E134" s="37"/>
      <c r="F134" s="37"/>
      <c r="G134" s="37"/>
      <c r="H134" s="37"/>
      <c r="I134" s="38"/>
    </row>
    <row r="135" spans="1:9" ht="17" thickBot="1" x14ac:dyDescent="0.25"/>
    <row r="136" spans="1:9" x14ac:dyDescent="0.2">
      <c r="A136" s="46" t="s">
        <v>572</v>
      </c>
      <c r="B136" s="32"/>
      <c r="C136" s="32"/>
      <c r="D136" s="32"/>
      <c r="E136" s="32"/>
      <c r="F136" s="32"/>
      <c r="G136" s="32"/>
      <c r="H136" s="32"/>
      <c r="I136" s="33"/>
    </row>
    <row r="137" spans="1:9" x14ac:dyDescent="0.2">
      <c r="A137" s="34"/>
      <c r="B137" s="1" t="s">
        <v>573</v>
      </c>
      <c r="I137" s="35"/>
    </row>
    <row r="138" spans="1:9" x14ac:dyDescent="0.2">
      <c r="A138" s="34"/>
      <c r="B138" s="1" t="s">
        <v>574</v>
      </c>
      <c r="I138" s="35"/>
    </row>
    <row r="139" spans="1:9" x14ac:dyDescent="0.2">
      <c r="A139" s="34"/>
      <c r="B139" s="8" t="s">
        <v>2888</v>
      </c>
      <c r="I139" s="35"/>
    </row>
    <row r="140" spans="1:9" x14ac:dyDescent="0.2">
      <c r="A140" s="34"/>
      <c r="B140" s="8" t="s">
        <v>2889</v>
      </c>
      <c r="I140" s="35"/>
    </row>
    <row r="141" spans="1:9" x14ac:dyDescent="0.2">
      <c r="A141" s="34"/>
      <c r="B141" s="8" t="s">
        <v>2890</v>
      </c>
      <c r="I141" s="35"/>
    </row>
    <row r="142" spans="1:9" ht="17" thickBot="1" x14ac:dyDescent="0.25">
      <c r="A142" s="36"/>
      <c r="B142" s="229" t="s">
        <v>2891</v>
      </c>
      <c r="C142" s="37"/>
      <c r="D142" s="37"/>
      <c r="E142" s="37"/>
      <c r="F142" s="37"/>
      <c r="G142" s="37"/>
      <c r="H142" s="37"/>
      <c r="I142" s="38"/>
    </row>
    <row r="143" spans="1:9" ht="17" thickBot="1" x14ac:dyDescent="0.25"/>
    <row r="144" spans="1:9" x14ac:dyDescent="0.2">
      <c r="A144" s="46" t="s">
        <v>575</v>
      </c>
      <c r="B144" s="32"/>
      <c r="C144" s="32"/>
      <c r="D144" s="32"/>
      <c r="E144" s="32"/>
      <c r="F144" s="32"/>
      <c r="G144" s="32"/>
      <c r="H144" s="32"/>
      <c r="I144" s="33"/>
    </row>
    <row r="145" spans="1:9" x14ac:dyDescent="0.2">
      <c r="A145" s="34"/>
      <c r="B145" s="1" t="s">
        <v>576</v>
      </c>
      <c r="I145" s="35"/>
    </row>
    <row r="146" spans="1:9" x14ac:dyDescent="0.2">
      <c r="A146" s="34"/>
      <c r="B146" s="1" t="s">
        <v>577</v>
      </c>
      <c r="I146" s="35"/>
    </row>
    <row r="147" spans="1:9" ht="17" thickBot="1" x14ac:dyDescent="0.25">
      <c r="A147" s="36"/>
      <c r="B147" s="37" t="s">
        <v>578</v>
      </c>
      <c r="C147" s="37"/>
      <c r="D147" s="37"/>
      <c r="E147" s="37"/>
      <c r="F147" s="37"/>
      <c r="G147" s="37"/>
      <c r="H147" s="37"/>
      <c r="I147" s="38"/>
    </row>
    <row r="148" spans="1:9" ht="17" thickBot="1" x14ac:dyDescent="0.25"/>
    <row r="149" spans="1:9" x14ac:dyDescent="0.2">
      <c r="A149" s="46" t="s">
        <v>579</v>
      </c>
      <c r="B149" s="32"/>
      <c r="C149" s="32"/>
      <c r="D149" s="32"/>
      <c r="E149" s="32"/>
      <c r="F149" s="32"/>
      <c r="G149" s="32"/>
      <c r="H149" s="32"/>
      <c r="I149" s="33"/>
    </row>
    <row r="150" spans="1:9" x14ac:dyDescent="0.2">
      <c r="A150" s="34"/>
      <c r="B150" s="1" t="s">
        <v>580</v>
      </c>
      <c r="I150" s="35"/>
    </row>
    <row r="151" spans="1:9" x14ac:dyDescent="0.2">
      <c r="A151" s="34"/>
      <c r="B151" s="1" t="s">
        <v>2895</v>
      </c>
      <c r="I151" s="35"/>
    </row>
    <row r="152" spans="1:9" x14ac:dyDescent="0.2">
      <c r="A152" s="34"/>
      <c r="B152" s="1" t="s">
        <v>581</v>
      </c>
      <c r="I152" s="35"/>
    </row>
    <row r="153" spans="1:9" x14ac:dyDescent="0.2">
      <c r="A153" s="34"/>
      <c r="B153" s="1" t="s">
        <v>582</v>
      </c>
      <c r="I153" s="35"/>
    </row>
    <row r="154" spans="1:9" x14ac:dyDescent="0.2">
      <c r="A154" s="34"/>
      <c r="I154" s="35"/>
    </row>
    <row r="155" spans="1:9" x14ac:dyDescent="0.2">
      <c r="A155" s="34" t="s">
        <v>308</v>
      </c>
      <c r="B155" s="1" t="s">
        <v>2892</v>
      </c>
      <c r="I155" s="35"/>
    </row>
    <row r="156" spans="1:9" x14ac:dyDescent="0.2">
      <c r="A156" s="34"/>
      <c r="B156" s="1" t="s">
        <v>2893</v>
      </c>
      <c r="I156" s="35"/>
    </row>
    <row r="157" spans="1:9" x14ac:dyDescent="0.2">
      <c r="A157" s="34"/>
      <c r="B157" s="1" t="s">
        <v>2894</v>
      </c>
      <c r="I157" s="35"/>
    </row>
    <row r="158" spans="1:9" x14ac:dyDescent="0.2">
      <c r="A158" s="34"/>
      <c r="I158" s="35"/>
    </row>
    <row r="159" spans="1:9" x14ac:dyDescent="0.2">
      <c r="A159" s="34"/>
      <c r="B159" s="1" t="s">
        <v>2896</v>
      </c>
      <c r="I159" s="35"/>
    </row>
    <row r="160" spans="1:9" x14ac:dyDescent="0.2">
      <c r="A160" s="34"/>
      <c r="B160" s="1" t="s">
        <v>583</v>
      </c>
      <c r="I160" s="35"/>
    </row>
    <row r="161" spans="1:9" x14ac:dyDescent="0.2">
      <c r="A161" s="34"/>
      <c r="B161" s="1" t="s">
        <v>584</v>
      </c>
      <c r="I161" s="35"/>
    </row>
    <row r="162" spans="1:9" ht="17" thickBot="1" x14ac:dyDescent="0.25">
      <c r="A162" s="36"/>
      <c r="B162" s="37" t="s">
        <v>585</v>
      </c>
      <c r="C162" s="37"/>
      <c r="D162" s="37"/>
      <c r="E162" s="37"/>
      <c r="F162" s="37"/>
      <c r="G162" s="37"/>
      <c r="H162" s="37"/>
      <c r="I162" s="38"/>
    </row>
    <row r="163" spans="1:9" ht="17" thickBot="1" x14ac:dyDescent="0.25"/>
    <row r="164" spans="1:9" x14ac:dyDescent="0.2">
      <c r="A164" s="46" t="s">
        <v>586</v>
      </c>
      <c r="B164" s="32"/>
      <c r="C164" s="32"/>
      <c r="D164" s="32"/>
      <c r="E164" s="32"/>
      <c r="F164" s="32"/>
      <c r="G164" s="32"/>
      <c r="H164" s="32"/>
      <c r="I164" s="33"/>
    </row>
    <row r="165" spans="1:9" x14ac:dyDescent="0.2">
      <c r="A165" s="34"/>
      <c r="B165" s="1" t="s">
        <v>587</v>
      </c>
      <c r="I165" s="35"/>
    </row>
    <row r="166" spans="1:9" x14ac:dyDescent="0.2">
      <c r="A166" s="34"/>
      <c r="B166" s="1" t="s">
        <v>588</v>
      </c>
      <c r="I166" s="35"/>
    </row>
    <row r="167" spans="1:9" x14ac:dyDescent="0.2">
      <c r="A167" s="34"/>
      <c r="B167" s="1" t="s">
        <v>589</v>
      </c>
      <c r="I167" s="35"/>
    </row>
    <row r="168" spans="1:9" x14ac:dyDescent="0.2">
      <c r="A168" s="34"/>
      <c r="B168" s="1" t="s">
        <v>590</v>
      </c>
      <c r="I168" s="35"/>
    </row>
    <row r="169" spans="1:9" x14ac:dyDescent="0.2">
      <c r="A169" s="34"/>
      <c r="B169" s="1" t="s">
        <v>591</v>
      </c>
      <c r="I169" s="35"/>
    </row>
    <row r="170" spans="1:9" x14ac:dyDescent="0.2">
      <c r="A170" s="34"/>
      <c r="B170" s="1" t="s">
        <v>592</v>
      </c>
      <c r="I170" s="35"/>
    </row>
    <row r="171" spans="1:9" ht="17" thickBot="1" x14ac:dyDescent="0.25">
      <c r="A171" s="36"/>
      <c r="B171" s="37" t="s">
        <v>593</v>
      </c>
      <c r="C171" s="37"/>
      <c r="D171" s="37"/>
      <c r="E171" s="37"/>
      <c r="F171" s="37"/>
      <c r="G171" s="37"/>
      <c r="H171" s="37"/>
      <c r="I171" s="38"/>
    </row>
    <row r="172" spans="1:9" ht="17" thickBot="1" x14ac:dyDescent="0.25"/>
    <row r="173" spans="1:9" x14ac:dyDescent="0.2">
      <c r="A173" s="46" t="s">
        <v>594</v>
      </c>
      <c r="B173" s="32"/>
      <c r="C173" s="32"/>
      <c r="D173" s="32"/>
      <c r="E173" s="32"/>
      <c r="F173" s="32"/>
      <c r="G173" s="32"/>
      <c r="H173" s="32"/>
      <c r="I173" s="33"/>
    </row>
    <row r="174" spans="1:9" x14ac:dyDescent="0.2">
      <c r="A174" s="34"/>
      <c r="B174" s="1" t="s">
        <v>2897</v>
      </c>
      <c r="I174" s="35"/>
    </row>
    <row r="175" spans="1:9" x14ac:dyDescent="0.2">
      <c r="A175" s="34"/>
      <c r="B175" s="1" t="s">
        <v>595</v>
      </c>
      <c r="I175" s="35"/>
    </row>
    <row r="176" spans="1:9" x14ac:dyDescent="0.2">
      <c r="A176" s="34"/>
      <c r="B176" s="1" t="s">
        <v>596</v>
      </c>
      <c r="I176" s="35"/>
    </row>
    <row r="177" spans="1:9" x14ac:dyDescent="0.2">
      <c r="A177" s="34"/>
      <c r="B177" s="1" t="s">
        <v>597</v>
      </c>
      <c r="I177" s="35"/>
    </row>
    <row r="178" spans="1:9" x14ac:dyDescent="0.2">
      <c r="A178" s="34"/>
      <c r="B178" s="1" t="s">
        <v>598</v>
      </c>
      <c r="I178" s="35"/>
    </row>
    <row r="179" spans="1:9" ht="17" thickBot="1" x14ac:dyDescent="0.25">
      <c r="A179" s="36"/>
      <c r="B179" s="37" t="s">
        <v>599</v>
      </c>
      <c r="C179" s="37"/>
      <c r="D179" s="37"/>
      <c r="E179" s="37"/>
      <c r="F179" s="37"/>
      <c r="G179" s="37"/>
      <c r="H179" s="37"/>
      <c r="I179" s="38"/>
    </row>
    <row r="180" spans="1:9" ht="17" thickBot="1" x14ac:dyDescent="0.25"/>
    <row r="181" spans="1:9" x14ac:dyDescent="0.2">
      <c r="A181" s="46" t="s">
        <v>600</v>
      </c>
      <c r="B181" s="32"/>
      <c r="C181" s="32"/>
      <c r="D181" s="32"/>
      <c r="E181" s="32"/>
      <c r="F181" s="32"/>
      <c r="G181" s="32"/>
      <c r="H181" s="32"/>
      <c r="I181" s="33"/>
    </row>
    <row r="182" spans="1:9" x14ac:dyDescent="0.2">
      <c r="A182" s="34"/>
      <c r="B182" s="1" t="s">
        <v>601</v>
      </c>
      <c r="I182" s="35"/>
    </row>
    <row r="183" spans="1:9" x14ac:dyDescent="0.2">
      <c r="A183" s="34"/>
      <c r="B183" s="1" t="s">
        <v>602</v>
      </c>
      <c r="I183" s="35"/>
    </row>
    <row r="184" spans="1:9" x14ac:dyDescent="0.2">
      <c r="A184" s="34"/>
      <c r="B184" s="1" t="s">
        <v>603</v>
      </c>
      <c r="I184" s="35"/>
    </row>
    <row r="185" spans="1:9" x14ac:dyDescent="0.2">
      <c r="A185" s="34"/>
      <c r="B185" s="1" t="s">
        <v>604</v>
      </c>
      <c r="I185" s="35"/>
    </row>
    <row r="186" spans="1:9" x14ac:dyDescent="0.2">
      <c r="A186" s="34"/>
      <c r="I186" s="35"/>
    </row>
    <row r="187" spans="1:9" x14ac:dyDescent="0.2">
      <c r="A187" s="34"/>
      <c r="B187" s="1" t="s">
        <v>2898</v>
      </c>
      <c r="I187" s="35"/>
    </row>
    <row r="188" spans="1:9" x14ac:dyDescent="0.2">
      <c r="A188" s="34"/>
      <c r="B188" s="1" t="s">
        <v>2899</v>
      </c>
      <c r="I188" s="35"/>
    </row>
    <row r="189" spans="1:9" x14ac:dyDescent="0.2">
      <c r="A189" s="34"/>
      <c r="B189" s="1" t="s">
        <v>2900</v>
      </c>
      <c r="I189" s="35"/>
    </row>
    <row r="190" spans="1:9" ht="17" thickBot="1" x14ac:dyDescent="0.25">
      <c r="A190" s="36"/>
      <c r="B190" s="37" t="s">
        <v>2901</v>
      </c>
      <c r="C190" s="37"/>
      <c r="D190" s="37"/>
      <c r="E190" s="37"/>
      <c r="F190" s="37"/>
      <c r="G190" s="37"/>
      <c r="H190" s="37"/>
      <c r="I190" s="38"/>
    </row>
    <row r="192" spans="1:9" x14ac:dyDescent="0.2">
      <c r="A192" s="30" t="s">
        <v>605</v>
      </c>
      <c r="B192" s="65"/>
      <c r="C192" s="65"/>
      <c r="D192" s="65"/>
      <c r="E192" s="65"/>
      <c r="F192" s="65"/>
      <c r="G192" s="65"/>
      <c r="H192" s="65"/>
      <c r="I192" s="65"/>
    </row>
    <row r="193" spans="1:9" ht="17" thickBot="1" x14ac:dyDescent="0.25"/>
    <row r="194" spans="1:9" x14ac:dyDescent="0.2">
      <c r="A194" s="46" t="s">
        <v>606</v>
      </c>
      <c r="B194" s="32"/>
      <c r="C194" s="32"/>
      <c r="D194" s="32"/>
      <c r="E194" s="32"/>
      <c r="F194" s="32"/>
      <c r="G194" s="32"/>
      <c r="H194" s="32"/>
      <c r="I194" s="33"/>
    </row>
    <row r="195" spans="1:9" x14ac:dyDescent="0.2">
      <c r="A195" s="34"/>
      <c r="B195" s="1" t="s">
        <v>607</v>
      </c>
      <c r="I195" s="35"/>
    </row>
    <row r="196" spans="1:9" x14ac:dyDescent="0.2">
      <c r="A196" s="34"/>
      <c r="B196" s="1" t="s">
        <v>608</v>
      </c>
      <c r="I196" s="35"/>
    </row>
    <row r="197" spans="1:9" x14ac:dyDescent="0.2">
      <c r="A197" s="34"/>
      <c r="B197" s="1" t="s">
        <v>609</v>
      </c>
      <c r="I197" s="35"/>
    </row>
    <row r="198" spans="1:9" x14ac:dyDescent="0.2">
      <c r="A198" s="34"/>
      <c r="B198" s="1" t="s">
        <v>610</v>
      </c>
      <c r="I198" s="35"/>
    </row>
    <row r="199" spans="1:9" x14ac:dyDescent="0.2">
      <c r="A199" s="34"/>
      <c r="I199" s="35"/>
    </row>
    <row r="200" spans="1:9" x14ac:dyDescent="0.2">
      <c r="A200" s="34"/>
      <c r="B200" s="1" t="s">
        <v>611</v>
      </c>
      <c r="I200" s="35"/>
    </row>
    <row r="201" spans="1:9" x14ac:dyDescent="0.2">
      <c r="A201" s="34"/>
      <c r="B201" s="1" t="s">
        <v>612</v>
      </c>
      <c r="I201" s="35"/>
    </row>
    <row r="202" spans="1:9" x14ac:dyDescent="0.2">
      <c r="A202" s="34"/>
      <c r="B202" s="1" t="s">
        <v>613</v>
      </c>
      <c r="I202" s="35"/>
    </row>
    <row r="203" spans="1:9" ht="17" thickBot="1" x14ac:dyDescent="0.25">
      <c r="A203" s="36"/>
      <c r="B203" s="37" t="s">
        <v>614</v>
      </c>
      <c r="C203" s="37"/>
      <c r="D203" s="37"/>
      <c r="E203" s="37"/>
      <c r="F203" s="37"/>
      <c r="G203" s="37"/>
      <c r="H203" s="37"/>
      <c r="I203" s="38"/>
    </row>
    <row r="204" spans="1:9" ht="17" thickBot="1" x14ac:dyDescent="0.25">
      <c r="F204"/>
    </row>
    <row r="205" spans="1:9" x14ac:dyDescent="0.2">
      <c r="A205" s="31" t="s">
        <v>618</v>
      </c>
      <c r="B205" s="32"/>
      <c r="C205" s="32"/>
      <c r="D205" s="32"/>
      <c r="E205" s="32"/>
      <c r="F205" s="32"/>
      <c r="G205" s="32"/>
      <c r="H205" s="32"/>
      <c r="I205" s="33"/>
    </row>
    <row r="206" spans="1:9" x14ac:dyDescent="0.2">
      <c r="A206" s="34" t="s">
        <v>619</v>
      </c>
      <c r="I206" s="35"/>
    </row>
    <row r="207" spans="1:9" x14ac:dyDescent="0.2">
      <c r="A207" s="34" t="s">
        <v>620</v>
      </c>
      <c r="I207" s="35"/>
    </row>
    <row r="208" spans="1:9" x14ac:dyDescent="0.2">
      <c r="A208" s="34" t="s">
        <v>621</v>
      </c>
      <c r="I208" s="35"/>
    </row>
    <row r="209" spans="1:9" x14ac:dyDescent="0.2">
      <c r="A209" s="34" t="s">
        <v>622</v>
      </c>
      <c r="I209" s="35"/>
    </row>
    <row r="210" spans="1:9" x14ac:dyDescent="0.2">
      <c r="A210" s="34" t="s">
        <v>623</v>
      </c>
      <c r="I210" s="35"/>
    </row>
    <row r="211" spans="1:9" ht="17" thickBot="1" x14ac:dyDescent="0.25">
      <c r="A211" s="36" t="s">
        <v>2902</v>
      </c>
      <c r="B211" s="37"/>
      <c r="C211" s="37"/>
      <c r="D211" s="37"/>
      <c r="E211" s="37"/>
      <c r="F211" s="37"/>
      <c r="G211" s="37"/>
      <c r="H211" s="37"/>
      <c r="I211" s="38"/>
    </row>
    <row r="213" spans="1:9" x14ac:dyDescent="0.2">
      <c r="A213" s="3" t="s">
        <v>624</v>
      </c>
    </row>
    <row r="214" spans="1:9" x14ac:dyDescent="0.2">
      <c r="A214" s="1" t="s">
        <v>625</v>
      </c>
    </row>
    <row r="215" spans="1:9" x14ac:dyDescent="0.2">
      <c r="A215" s="1" t="s">
        <v>626</v>
      </c>
    </row>
    <row r="216" spans="1:9" x14ac:dyDescent="0.2">
      <c r="A216" s="1" t="s">
        <v>627</v>
      </c>
    </row>
    <row r="217" spans="1:9" x14ac:dyDescent="0.2">
      <c r="A217" s="1" t="s">
        <v>628</v>
      </c>
    </row>
    <row r="218" spans="1:9" x14ac:dyDescent="0.2">
      <c r="A218" s="1" t="s">
        <v>629</v>
      </c>
    </row>
    <row r="219" spans="1:9" x14ac:dyDescent="0.2">
      <c r="A219" s="1" t="s">
        <v>630</v>
      </c>
    </row>
    <row r="220" spans="1:9" x14ac:dyDescent="0.2">
      <c r="A220" s="1" t="s">
        <v>631</v>
      </c>
    </row>
    <row r="221" spans="1:9" x14ac:dyDescent="0.2">
      <c r="A221" s="1" t="s">
        <v>632</v>
      </c>
    </row>
    <row r="223" spans="1:9" x14ac:dyDescent="0.2">
      <c r="A223" s="1" t="s">
        <v>633</v>
      </c>
    </row>
    <row r="224" spans="1:9" x14ac:dyDescent="0.2">
      <c r="A224" s="1" t="s">
        <v>634</v>
      </c>
    </row>
    <row r="225" spans="1:1" s="62" customFormat="1" x14ac:dyDescent="0.2"/>
    <row r="226" spans="1:1" s="62" customFormat="1" x14ac:dyDescent="0.2">
      <c r="A226" s="62" t="s">
        <v>638</v>
      </c>
    </row>
    <row r="227" spans="1:1" s="62" customFormat="1" x14ac:dyDescent="0.2">
      <c r="A227" s="62" t="s">
        <v>635</v>
      </c>
    </row>
    <row r="228" spans="1:1" s="62" customFormat="1" x14ac:dyDescent="0.2">
      <c r="A228" s="62" t="s">
        <v>636</v>
      </c>
    </row>
    <row r="229" spans="1:1" s="62" customFormat="1" x14ac:dyDescent="0.2">
      <c r="A229" s="62" t="s">
        <v>637</v>
      </c>
    </row>
    <row r="230" spans="1:1" s="62" customFormat="1" x14ac:dyDescent="0.2"/>
    <row r="231" spans="1:1" s="62" customFormat="1" x14ac:dyDescent="0.2"/>
    <row r="232" spans="1:1" s="62" customFormat="1" x14ac:dyDescent="0.2"/>
    <row r="233" spans="1:1" s="62" customFormat="1" x14ac:dyDescent="0.2"/>
    <row r="234" spans="1:1" s="62" customFormat="1" x14ac:dyDescent="0.2"/>
    <row r="235" spans="1:1" s="62" customFormat="1" x14ac:dyDescent="0.2"/>
    <row r="236" spans="1:1" s="62" customFormat="1" x14ac:dyDescent="0.2"/>
    <row r="237" spans="1:1" s="62" customFormat="1" x14ac:dyDescent="0.2"/>
    <row r="238" spans="1:1" x14ac:dyDescent="0.2">
      <c r="A238" s="3" t="s">
        <v>351</v>
      </c>
    </row>
    <row r="239" spans="1:1" x14ac:dyDescent="0.2">
      <c r="A239" s="1" t="s">
        <v>895</v>
      </c>
    </row>
    <row r="240" spans="1:1" x14ac:dyDescent="0.2">
      <c r="A240" s="1" t="s">
        <v>639</v>
      </c>
    </row>
    <row r="241" spans="1:1" x14ac:dyDescent="0.2">
      <c r="A241" s="1" t="s">
        <v>640</v>
      </c>
    </row>
    <row r="243" spans="1:1" x14ac:dyDescent="0.2">
      <c r="A243" s="3" t="s">
        <v>2904</v>
      </c>
    </row>
    <row r="244" spans="1:1" x14ac:dyDescent="0.2">
      <c r="A244" s="1" t="s">
        <v>2903</v>
      </c>
    </row>
    <row r="246" spans="1:1" x14ac:dyDescent="0.2">
      <c r="A246" s="3" t="s">
        <v>2905</v>
      </c>
    </row>
    <row r="247" spans="1:1" x14ac:dyDescent="0.2">
      <c r="A247" s="1" t="s">
        <v>2906</v>
      </c>
    </row>
    <row r="248" spans="1:1" x14ac:dyDescent="0.2">
      <c r="A248" s="1" t="s">
        <v>2907</v>
      </c>
    </row>
    <row r="249" spans="1:1" x14ac:dyDescent="0.2">
      <c r="A249" s="1" t="s">
        <v>2908</v>
      </c>
    </row>
    <row r="251" spans="1:1" x14ac:dyDescent="0.2">
      <c r="A251" s="3" t="s">
        <v>641</v>
      </c>
    </row>
    <row r="252" spans="1:1" x14ac:dyDescent="0.2">
      <c r="A252" s="1" t="s">
        <v>642</v>
      </c>
    </row>
    <row r="253" spans="1:1" x14ac:dyDescent="0.2">
      <c r="A253" s="1" t="s">
        <v>643</v>
      </c>
    </row>
    <row r="254" spans="1:1" x14ac:dyDescent="0.2">
      <c r="A254" s="1" t="s">
        <v>644</v>
      </c>
    </row>
    <row r="255" spans="1:1" x14ac:dyDescent="0.2">
      <c r="A255" s="1" t="s">
        <v>645</v>
      </c>
    </row>
    <row r="257" spans="1:8" x14ac:dyDescent="0.2">
      <c r="A257" s="83" t="s">
        <v>646</v>
      </c>
      <c r="B257" s="84"/>
      <c r="C257" s="84"/>
      <c r="D257" s="84"/>
      <c r="E257" s="84"/>
      <c r="F257" s="84"/>
      <c r="G257" s="84"/>
      <c r="H257" s="84"/>
    </row>
    <row r="258" spans="1:8" x14ac:dyDescent="0.2">
      <c r="A258" s="1" t="s">
        <v>647</v>
      </c>
    </row>
    <row r="259" spans="1:8" x14ac:dyDescent="0.2">
      <c r="A259" s="1" t="s">
        <v>648</v>
      </c>
    </row>
    <row r="260" spans="1:8" x14ac:dyDescent="0.2">
      <c r="A260" s="1" t="s">
        <v>649</v>
      </c>
    </row>
    <row r="261" spans="1:8" x14ac:dyDescent="0.2">
      <c r="A261" s="1" t="s">
        <v>650</v>
      </c>
    </row>
    <row r="262" spans="1:8" x14ac:dyDescent="0.2">
      <c r="A262" s="1" t="s">
        <v>651</v>
      </c>
    </row>
    <row r="263" spans="1:8" x14ac:dyDescent="0.2">
      <c r="A263" s="1" t="s">
        <v>652</v>
      </c>
    </row>
    <row r="265" spans="1:8" x14ac:dyDescent="0.2">
      <c r="A265" s="1" t="s">
        <v>653</v>
      </c>
    </row>
    <row r="267" spans="1:8" x14ac:dyDescent="0.2">
      <c r="A267" s="83" t="s">
        <v>654</v>
      </c>
      <c r="B267" s="84"/>
      <c r="C267" s="84"/>
      <c r="D267" s="84"/>
      <c r="E267" s="84"/>
      <c r="F267" s="84"/>
      <c r="G267" s="84"/>
      <c r="H267" s="84"/>
    </row>
    <row r="268" spans="1:8" s="62" customFormat="1" x14ac:dyDescent="0.2">
      <c r="A268" s="62" t="s">
        <v>896</v>
      </c>
    </row>
    <row r="269" spans="1:8" s="62" customFormat="1" x14ac:dyDescent="0.2">
      <c r="A269" s="62" t="s">
        <v>655</v>
      </c>
    </row>
    <row r="270" spans="1:8" s="62" customFormat="1" x14ac:dyDescent="0.2">
      <c r="B270" s="62" t="s">
        <v>897</v>
      </c>
    </row>
    <row r="271" spans="1:8" s="62" customFormat="1" x14ac:dyDescent="0.2">
      <c r="B271" s="62" t="s">
        <v>898</v>
      </c>
    </row>
    <row r="272" spans="1:8" s="62" customFormat="1" x14ac:dyDescent="0.2">
      <c r="A272" s="62" t="s">
        <v>656</v>
      </c>
    </row>
    <row r="273" spans="1:8" s="62" customFormat="1" x14ac:dyDescent="0.2">
      <c r="A273" s="62" t="s">
        <v>657</v>
      </c>
    </row>
    <row r="274" spans="1:8" s="62" customFormat="1" x14ac:dyDescent="0.2">
      <c r="A274" s="62" t="s">
        <v>658</v>
      </c>
    </row>
    <row r="275" spans="1:8" s="62" customFormat="1" x14ac:dyDescent="0.2">
      <c r="A275" s="62" t="s">
        <v>659</v>
      </c>
    </row>
    <row r="276" spans="1:8" s="62" customFormat="1" x14ac:dyDescent="0.2">
      <c r="A276" s="62" t="s">
        <v>899</v>
      </c>
    </row>
    <row r="277" spans="1:8" s="62" customFormat="1" x14ac:dyDescent="0.2">
      <c r="A277" s="62" t="s">
        <v>660</v>
      </c>
    </row>
    <row r="279" spans="1:8" x14ac:dyDescent="0.2">
      <c r="A279" s="30" t="s">
        <v>661</v>
      </c>
      <c r="B279" s="65"/>
      <c r="C279" s="65"/>
      <c r="D279" s="65"/>
      <c r="E279" s="65"/>
      <c r="F279" s="65"/>
      <c r="G279" s="65"/>
      <c r="H279" s="65"/>
    </row>
    <row r="280" spans="1:8" x14ac:dyDescent="0.2">
      <c r="A280" s="1" t="s">
        <v>662</v>
      </c>
    </row>
    <row r="281" spans="1:8" x14ac:dyDescent="0.2">
      <c r="A281" s="1" t="s">
        <v>663</v>
      </c>
    </row>
    <row r="282" spans="1:8" x14ac:dyDescent="0.2">
      <c r="A282" s="1" t="s">
        <v>664</v>
      </c>
    </row>
    <row r="284" spans="1:8" x14ac:dyDescent="0.2">
      <c r="A284" s="1" t="s">
        <v>665</v>
      </c>
    </row>
    <row r="285" spans="1:8" x14ac:dyDescent="0.2">
      <c r="A285" s="1" t="s">
        <v>666</v>
      </c>
    </row>
    <row r="286" spans="1:8" x14ac:dyDescent="0.2">
      <c r="A286" s="1" t="s">
        <v>667</v>
      </c>
    </row>
    <row r="288" spans="1:8" x14ac:dyDescent="0.2">
      <c r="A288" s="1" t="s">
        <v>668</v>
      </c>
    </row>
    <row r="289" spans="1:9" x14ac:dyDescent="0.2">
      <c r="B289" s="1" t="s">
        <v>669</v>
      </c>
    </row>
    <row r="290" spans="1:9" x14ac:dyDescent="0.2">
      <c r="B290" s="1" t="s">
        <v>2910</v>
      </c>
    </row>
    <row r="291" spans="1:9" x14ac:dyDescent="0.2">
      <c r="B291" s="1" t="s">
        <v>900</v>
      </c>
    </row>
    <row r="292" spans="1:9" x14ac:dyDescent="0.2">
      <c r="B292" s="1" t="s">
        <v>901</v>
      </c>
    </row>
    <row r="293" spans="1:9" x14ac:dyDescent="0.2">
      <c r="B293" s="1" t="s">
        <v>670</v>
      </c>
    </row>
    <row r="294" spans="1:9" x14ac:dyDescent="0.2">
      <c r="B294" s="1" t="s">
        <v>671</v>
      </c>
    </row>
    <row r="296" spans="1:9" x14ac:dyDescent="0.2">
      <c r="A296" s="3" t="s">
        <v>672</v>
      </c>
    </row>
    <row r="297" spans="1:9" x14ac:dyDescent="0.2">
      <c r="A297" s="1" t="s">
        <v>673</v>
      </c>
    </row>
    <row r="298" spans="1:9" x14ac:dyDescent="0.2">
      <c r="A298" s="1" t="s">
        <v>674</v>
      </c>
    </row>
    <row r="299" spans="1:9" x14ac:dyDescent="0.2">
      <c r="A299" s="1" t="s">
        <v>675</v>
      </c>
    </row>
    <row r="300" spans="1:9" x14ac:dyDescent="0.2">
      <c r="A300" s="3"/>
      <c r="B300" s="1" t="s">
        <v>676</v>
      </c>
    </row>
    <row r="301" spans="1:9" x14ac:dyDescent="0.2">
      <c r="A301" s="3"/>
      <c r="B301" s="1" t="s">
        <v>677</v>
      </c>
    </row>
    <row r="302" spans="1:9" x14ac:dyDescent="0.2">
      <c r="B302" s="1" t="s">
        <v>678</v>
      </c>
    </row>
    <row r="304" spans="1:9" x14ac:dyDescent="0.2">
      <c r="A304" s="83" t="s">
        <v>679</v>
      </c>
      <c r="B304" s="84"/>
      <c r="C304" s="84"/>
      <c r="D304" s="84"/>
      <c r="E304" s="84"/>
      <c r="F304" s="84"/>
      <c r="G304" s="84"/>
      <c r="H304" s="84"/>
      <c r="I304"/>
    </row>
    <row r="305" spans="1:9" x14ac:dyDescent="0.2">
      <c r="A305" s="1" t="s">
        <v>680</v>
      </c>
    </row>
    <row r="306" spans="1:9" x14ac:dyDescent="0.2">
      <c r="A306" s="1" t="s">
        <v>681</v>
      </c>
    </row>
    <row r="307" spans="1:9" x14ac:dyDescent="0.2">
      <c r="A307" s="1" t="s">
        <v>682</v>
      </c>
      <c r="I307"/>
    </row>
    <row r="309" spans="1:9" x14ac:dyDescent="0.2">
      <c r="A309" s="1" t="s">
        <v>683</v>
      </c>
    </row>
    <row r="310" spans="1:9" x14ac:dyDescent="0.2">
      <c r="A310" s="1" t="s">
        <v>684</v>
      </c>
    </row>
    <row r="311" spans="1:9" x14ac:dyDescent="0.2">
      <c r="A311" s="1" t="s">
        <v>2909</v>
      </c>
    </row>
    <row r="314" spans="1:9" x14ac:dyDescent="0.2">
      <c r="A314" s="83" t="s">
        <v>685</v>
      </c>
      <c r="B314" s="84"/>
      <c r="C314" s="84"/>
      <c r="D314" s="84"/>
      <c r="E314" s="84"/>
      <c r="F314" s="84"/>
      <c r="G314" s="84"/>
      <c r="H314" s="84"/>
    </row>
    <row r="315" spans="1:9" x14ac:dyDescent="0.2">
      <c r="A315" s="3" t="s">
        <v>686</v>
      </c>
    </row>
    <row r="316" spans="1:9" s="62" customFormat="1" x14ac:dyDescent="0.2">
      <c r="A316" s="62" t="s">
        <v>687</v>
      </c>
    </row>
    <row r="317" spans="1:9" s="62" customFormat="1" x14ac:dyDescent="0.2">
      <c r="A317" s="62" t="s">
        <v>688</v>
      </c>
    </row>
    <row r="318" spans="1:9" s="62" customFormat="1" x14ac:dyDescent="0.2">
      <c r="A318" s="62" t="s">
        <v>689</v>
      </c>
    </row>
    <row r="319" spans="1:9" s="62" customFormat="1" x14ac:dyDescent="0.2"/>
    <row r="320" spans="1:9" x14ac:dyDescent="0.2">
      <c r="A320" s="3" t="s">
        <v>690</v>
      </c>
    </row>
    <row r="321" spans="1:8" s="62" customFormat="1" x14ac:dyDescent="0.2">
      <c r="A321" s="62" t="s">
        <v>2911</v>
      </c>
    </row>
    <row r="322" spans="1:8" s="62" customFormat="1" x14ac:dyDescent="0.2"/>
    <row r="323" spans="1:8" s="62" customFormat="1" x14ac:dyDescent="0.2">
      <c r="C323" s="62" t="s">
        <v>117</v>
      </c>
      <c r="D323" s="60">
        <v>100000</v>
      </c>
    </row>
    <row r="324" spans="1:8" s="62" customFormat="1" x14ac:dyDescent="0.2">
      <c r="B324" s="62" t="s">
        <v>2912</v>
      </c>
      <c r="C324" s="62" t="s">
        <v>691</v>
      </c>
      <c r="D324" s="60">
        <v>40000</v>
      </c>
      <c r="G324" s="62" t="s">
        <v>692</v>
      </c>
    </row>
    <row r="325" spans="1:8" s="62" customFormat="1" x14ac:dyDescent="0.2">
      <c r="C325" s="62" t="s">
        <v>120</v>
      </c>
      <c r="D325" s="85">
        <f>D323-D324</f>
        <v>60000</v>
      </c>
    </row>
    <row r="326" spans="1:8" x14ac:dyDescent="0.2">
      <c r="A326" s="59"/>
      <c r="B326" s="59"/>
      <c r="C326" s="59"/>
      <c r="D326" s="58"/>
      <c r="E326" s="59"/>
      <c r="F326" s="59"/>
      <c r="G326" s="59"/>
      <c r="H326" s="59"/>
    </row>
    <row r="327" spans="1:8" s="62" customFormat="1" x14ac:dyDescent="0.2">
      <c r="A327" s="62" t="s">
        <v>693</v>
      </c>
      <c r="D327" s="60"/>
    </row>
    <row r="328" spans="1:8" s="62" customFormat="1" x14ac:dyDescent="0.2">
      <c r="A328" s="62" t="s">
        <v>694</v>
      </c>
      <c r="D328" s="60"/>
    </row>
    <row r="329" spans="1:8" s="62" customFormat="1" x14ac:dyDescent="0.2">
      <c r="D329" s="60"/>
    </row>
    <row r="330" spans="1:8" s="62" customFormat="1" x14ac:dyDescent="0.2">
      <c r="A330" s="62" t="s">
        <v>2913</v>
      </c>
      <c r="D330" s="60">
        <v>70000</v>
      </c>
      <c r="F330" s="62" t="s">
        <v>902</v>
      </c>
    </row>
    <row r="331" spans="1:8" s="62" customFormat="1" x14ac:dyDescent="0.2">
      <c r="A331" s="62" t="s">
        <v>2914</v>
      </c>
      <c r="D331" s="60">
        <v>60000</v>
      </c>
      <c r="F331" s="62" t="s">
        <v>903</v>
      </c>
    </row>
    <row r="332" spans="1:8" s="62" customFormat="1" x14ac:dyDescent="0.2">
      <c r="A332" s="62" t="s">
        <v>695</v>
      </c>
      <c r="D332" s="85">
        <f>D330-D331</f>
        <v>10000</v>
      </c>
      <c r="F332" s="62" t="s">
        <v>904</v>
      </c>
    </row>
    <row r="333" spans="1:8" s="62" customFormat="1" x14ac:dyDescent="0.2">
      <c r="D333" s="60"/>
      <c r="F333" s="62" t="s">
        <v>905</v>
      </c>
    </row>
    <row r="334" spans="1:8" s="62" customFormat="1" x14ac:dyDescent="0.2">
      <c r="A334" s="62" t="s">
        <v>696</v>
      </c>
      <c r="D334" s="60"/>
      <c r="F334" s="62" t="s">
        <v>906</v>
      </c>
    </row>
    <row r="335" spans="1:8" s="62" customFormat="1" x14ac:dyDescent="0.2">
      <c r="A335" s="62" t="s">
        <v>697</v>
      </c>
      <c r="D335" s="60"/>
    </row>
    <row r="336" spans="1:8" s="62" customFormat="1" x14ac:dyDescent="0.2">
      <c r="A336" s="62" t="s">
        <v>698</v>
      </c>
      <c r="D336" s="60"/>
      <c r="F336" s="86" t="s">
        <v>908</v>
      </c>
    </row>
    <row r="337" spans="1:8" s="62" customFormat="1" x14ac:dyDescent="0.2">
      <c r="A337" s="62" t="s">
        <v>699</v>
      </c>
      <c r="D337" s="60"/>
      <c r="F337" s="86" t="s">
        <v>907</v>
      </c>
      <c r="G337" s="86"/>
    </row>
    <row r="338" spans="1:8" s="62" customFormat="1" x14ac:dyDescent="0.2">
      <c r="D338" s="60"/>
    </row>
    <row r="339" spans="1:8" x14ac:dyDescent="0.2">
      <c r="A339" s="83" t="s">
        <v>700</v>
      </c>
      <c r="B339" s="84"/>
      <c r="C339" s="84"/>
      <c r="D339" s="84"/>
      <c r="E339" s="84"/>
      <c r="F339" s="84"/>
      <c r="G339" s="84"/>
      <c r="H339" s="84"/>
    </row>
    <row r="340" spans="1:8" x14ac:dyDescent="0.2">
      <c r="A340" s="1" t="s">
        <v>701</v>
      </c>
      <c r="D340" s="11"/>
    </row>
    <row r="341" spans="1:8" x14ac:dyDescent="0.2">
      <c r="A341" s="1" t="s">
        <v>702</v>
      </c>
      <c r="D341" s="11"/>
    </row>
    <row r="342" spans="1:8" x14ac:dyDescent="0.2">
      <c r="D342" s="11"/>
    </row>
    <row r="343" spans="1:8" x14ac:dyDescent="0.2">
      <c r="A343" s="83" t="s">
        <v>703</v>
      </c>
      <c r="B343" s="84"/>
      <c r="C343" s="84"/>
      <c r="D343" s="84"/>
      <c r="E343" s="84"/>
      <c r="F343" s="84"/>
      <c r="G343" s="84"/>
      <c r="H343" s="84"/>
    </row>
    <row r="344" spans="1:8" x14ac:dyDescent="0.2">
      <c r="A344" s="1" t="s">
        <v>2915</v>
      </c>
      <c r="D344" s="11"/>
    </row>
    <row r="345" spans="1:8" x14ac:dyDescent="0.2">
      <c r="A345" s="1" t="s">
        <v>2916</v>
      </c>
      <c r="D345" s="11"/>
    </row>
    <row r="346" spans="1:8" x14ac:dyDescent="0.2">
      <c r="A346" s="1" t="s">
        <v>704</v>
      </c>
      <c r="D346" s="11"/>
    </row>
    <row r="347" spans="1:8" x14ac:dyDescent="0.2">
      <c r="D347" s="11"/>
    </row>
    <row r="348" spans="1:8" x14ac:dyDescent="0.2">
      <c r="A348" s="1" t="s">
        <v>2917</v>
      </c>
    </row>
    <row r="349" spans="1:8" s="62" customFormat="1" x14ac:dyDescent="0.2"/>
    <row r="350" spans="1:8" s="62" customFormat="1" x14ac:dyDescent="0.2">
      <c r="C350" s="62" t="s">
        <v>117</v>
      </c>
      <c r="D350" s="60">
        <v>100000</v>
      </c>
    </row>
    <row r="351" spans="1:8" s="62" customFormat="1" x14ac:dyDescent="0.2">
      <c r="C351" s="62" t="s">
        <v>691</v>
      </c>
      <c r="D351" s="60">
        <v>40000</v>
      </c>
      <c r="G351" s="62" t="s">
        <v>692</v>
      </c>
    </row>
    <row r="352" spans="1:8" s="62" customFormat="1" x14ac:dyDescent="0.2">
      <c r="C352" s="62" t="s">
        <v>120</v>
      </c>
      <c r="D352" s="85">
        <f>D350-D351</f>
        <v>60000</v>
      </c>
    </row>
    <row r="353" spans="1:5" s="62" customFormat="1" x14ac:dyDescent="0.2">
      <c r="D353" s="60"/>
    </row>
    <row r="354" spans="1:5" s="62" customFormat="1" x14ac:dyDescent="0.2">
      <c r="A354" s="62" t="s">
        <v>696</v>
      </c>
      <c r="D354" s="60"/>
    </row>
    <row r="355" spans="1:5" s="62" customFormat="1" x14ac:dyDescent="0.2">
      <c r="A355" s="62" t="s">
        <v>697</v>
      </c>
      <c r="D355" s="60"/>
    </row>
    <row r="356" spans="1:5" s="62" customFormat="1" x14ac:dyDescent="0.2">
      <c r="A356" s="62" t="s">
        <v>705</v>
      </c>
      <c r="D356" s="60"/>
    </row>
    <row r="357" spans="1:5" s="62" customFormat="1" x14ac:dyDescent="0.2">
      <c r="A357" s="62" t="s">
        <v>706</v>
      </c>
      <c r="D357" s="60"/>
    </row>
    <row r="358" spans="1:5" s="62" customFormat="1" x14ac:dyDescent="0.2">
      <c r="D358" s="60"/>
    </row>
    <row r="359" spans="1:5" s="62" customFormat="1" x14ac:dyDescent="0.2">
      <c r="A359" s="62" t="s">
        <v>707</v>
      </c>
      <c r="D359" s="60"/>
    </row>
    <row r="360" spans="1:5" s="62" customFormat="1" x14ac:dyDescent="0.2">
      <c r="B360" s="62" t="s">
        <v>708</v>
      </c>
      <c r="D360" s="60"/>
      <c r="E360" s="60">
        <f>D352</f>
        <v>60000</v>
      </c>
    </row>
    <row r="361" spans="1:5" s="62" customFormat="1" x14ac:dyDescent="0.2">
      <c r="B361" s="62" t="s">
        <v>709</v>
      </c>
      <c r="D361" s="60"/>
      <c r="E361" s="60">
        <v>100000</v>
      </c>
    </row>
    <row r="362" spans="1:5" s="62" customFormat="1" x14ac:dyDescent="0.2">
      <c r="B362" s="62" t="s">
        <v>710</v>
      </c>
      <c r="D362" s="60"/>
      <c r="E362" s="60">
        <f>D351</f>
        <v>40000</v>
      </c>
    </row>
    <row r="364" spans="1:5" x14ac:dyDescent="0.2">
      <c r="A364" s="3" t="s">
        <v>2918</v>
      </c>
    </row>
    <row r="371" spans="2:5" x14ac:dyDescent="0.2">
      <c r="B371" s="228" t="s">
        <v>2079</v>
      </c>
      <c r="E371" s="1" t="s">
        <v>2346</v>
      </c>
    </row>
    <row r="385" spans="1:8" x14ac:dyDescent="0.2">
      <c r="A385" s="65" t="s">
        <v>711</v>
      </c>
      <c r="B385" s="65"/>
      <c r="C385" s="65"/>
      <c r="D385" s="65"/>
      <c r="E385" s="65"/>
      <c r="F385" s="65"/>
      <c r="G385" s="65"/>
      <c r="H385" s="65"/>
    </row>
    <row r="386" spans="1:8" x14ac:dyDescent="0.2">
      <c r="A386" s="1" t="s">
        <v>712</v>
      </c>
    </row>
    <row r="387" spans="1:8" x14ac:dyDescent="0.2">
      <c r="A387" s="1" t="s">
        <v>713</v>
      </c>
    </row>
    <row r="388" spans="1:8" x14ac:dyDescent="0.2">
      <c r="A388" s="1" t="s">
        <v>714</v>
      </c>
    </row>
    <row r="389" spans="1:8" x14ac:dyDescent="0.2">
      <c r="A389" s="1" t="s">
        <v>715</v>
      </c>
    </row>
    <row r="391" spans="1:8" x14ac:dyDescent="0.2">
      <c r="A391" s="1" t="s">
        <v>716</v>
      </c>
    </row>
    <row r="392" spans="1:8" x14ac:dyDescent="0.2">
      <c r="B392" s="1" t="s">
        <v>717</v>
      </c>
    </row>
    <row r="393" spans="1:8" x14ac:dyDescent="0.2">
      <c r="B393" s="1" t="s">
        <v>718</v>
      </c>
    </row>
    <row r="394" spans="1:8" x14ac:dyDescent="0.2">
      <c r="B394" s="1" t="s">
        <v>719</v>
      </c>
    </row>
    <row r="396" spans="1:8" x14ac:dyDescent="0.2">
      <c r="A396" s="1" t="s">
        <v>720</v>
      </c>
    </row>
    <row r="397" spans="1:8" x14ac:dyDescent="0.2">
      <c r="B397" s="1" t="s">
        <v>721</v>
      </c>
    </row>
    <row r="398" spans="1:8" x14ac:dyDescent="0.2">
      <c r="B398" s="1" t="s">
        <v>722</v>
      </c>
    </row>
    <row r="399" spans="1:8" x14ac:dyDescent="0.2">
      <c r="B399" s="1" t="s">
        <v>723</v>
      </c>
    </row>
    <row r="400" spans="1:8" x14ac:dyDescent="0.2">
      <c r="B400" s="1" t="s">
        <v>724</v>
      </c>
    </row>
    <row r="402" spans="2:8" x14ac:dyDescent="0.2">
      <c r="B402" s="1" t="s">
        <v>725</v>
      </c>
    </row>
    <row r="403" spans="2:8" x14ac:dyDescent="0.2">
      <c r="B403" s="66" t="s">
        <v>726</v>
      </c>
      <c r="C403" s="66"/>
      <c r="D403" s="66"/>
      <c r="E403" s="66"/>
      <c r="F403" s="66"/>
      <c r="G403" s="66"/>
      <c r="H403" s="66"/>
    </row>
    <row r="404" spans="2:8" x14ac:dyDescent="0.2">
      <c r="B404" s="66" t="s">
        <v>727</v>
      </c>
      <c r="C404" s="66"/>
      <c r="D404" s="66"/>
      <c r="E404" s="66"/>
      <c r="F404" s="66"/>
      <c r="G404" s="66"/>
      <c r="H404" s="66"/>
    </row>
    <row r="405" spans="2:8" x14ac:dyDescent="0.2">
      <c r="B405" s="66"/>
      <c r="C405" s="66"/>
      <c r="D405" s="66"/>
      <c r="E405" s="66"/>
      <c r="F405" s="66"/>
      <c r="G405" s="66"/>
      <c r="H405" s="66"/>
    </row>
    <row r="406" spans="2:8" x14ac:dyDescent="0.2">
      <c r="B406" s="66" t="s">
        <v>728</v>
      </c>
      <c r="C406" s="66"/>
      <c r="D406" s="66"/>
      <c r="E406" s="66"/>
      <c r="F406" s="66"/>
      <c r="G406" s="66"/>
      <c r="H406" s="66"/>
    </row>
    <row r="407" spans="2:8" x14ac:dyDescent="0.2">
      <c r="B407" s="66" t="s">
        <v>729</v>
      </c>
      <c r="C407" s="66"/>
      <c r="D407" s="66"/>
      <c r="E407" s="66"/>
      <c r="F407" s="66"/>
      <c r="G407" s="66"/>
      <c r="H407" s="66"/>
    </row>
    <row r="408" spans="2:8" x14ac:dyDescent="0.2">
      <c r="B408" s="66"/>
      <c r="C408" s="66"/>
      <c r="D408" s="66"/>
      <c r="E408" s="66"/>
      <c r="F408" s="66"/>
      <c r="G408" s="66"/>
      <c r="H408" s="66"/>
    </row>
    <row r="409" spans="2:8" x14ac:dyDescent="0.2">
      <c r="B409" s="66" t="s">
        <v>730</v>
      </c>
    </row>
    <row r="410" spans="2:8" x14ac:dyDescent="0.2">
      <c r="B410" s="66" t="s">
        <v>731</v>
      </c>
      <c r="C410" s="66"/>
      <c r="D410" s="66"/>
      <c r="E410" s="66"/>
      <c r="F410" s="66"/>
      <c r="G410" s="66"/>
      <c r="H410" s="66"/>
    </row>
    <row r="411" spans="2:8" x14ac:dyDescent="0.2">
      <c r="B411" s="66" t="s">
        <v>732</v>
      </c>
      <c r="C411" s="66"/>
      <c r="D411" s="66"/>
      <c r="E411" s="66"/>
      <c r="F411" s="66"/>
      <c r="G411" s="66"/>
      <c r="H411" s="66"/>
    </row>
    <row r="412" spans="2:8" x14ac:dyDescent="0.2">
      <c r="B412" s="66"/>
      <c r="C412" s="66"/>
      <c r="D412" s="66"/>
      <c r="E412" s="66"/>
      <c r="F412" s="66"/>
      <c r="G412" s="66"/>
      <c r="H412" s="66"/>
    </row>
    <row r="413" spans="2:8" x14ac:dyDescent="0.2">
      <c r="B413" s="66" t="s">
        <v>733</v>
      </c>
      <c r="C413" s="66"/>
      <c r="D413" s="66"/>
      <c r="E413" s="66"/>
      <c r="F413" s="66"/>
      <c r="G413" s="66"/>
      <c r="H413" s="66"/>
    </row>
    <row r="414" spans="2:8" x14ac:dyDescent="0.2">
      <c r="B414" s="66" t="s">
        <v>734</v>
      </c>
      <c r="C414" s="66"/>
      <c r="D414" s="66"/>
      <c r="E414" s="66"/>
      <c r="F414" s="66"/>
      <c r="G414" s="66"/>
      <c r="H414" s="66"/>
    </row>
    <row r="418" spans="1:8" x14ac:dyDescent="0.2">
      <c r="A418" s="65" t="s">
        <v>735</v>
      </c>
      <c r="B418" s="65"/>
      <c r="C418" s="65"/>
      <c r="D418" s="65"/>
      <c r="E418" s="65"/>
      <c r="F418" s="65"/>
      <c r="G418" s="65"/>
      <c r="H418" s="65"/>
    </row>
    <row r="420" spans="1:8" x14ac:dyDescent="0.2">
      <c r="A420" s="1" t="s">
        <v>736</v>
      </c>
    </row>
    <row r="421" spans="1:8" x14ac:dyDescent="0.2">
      <c r="B421" s="1" t="s">
        <v>737</v>
      </c>
    </row>
    <row r="422" spans="1:8" x14ac:dyDescent="0.2">
      <c r="B422" s="1" t="s">
        <v>738</v>
      </c>
    </row>
    <row r="424" spans="1:8" x14ac:dyDescent="0.2">
      <c r="B424" s="1" t="s">
        <v>739</v>
      </c>
    </row>
    <row r="425" spans="1:8" ht="17" thickBot="1" x14ac:dyDescent="0.25"/>
    <row r="426" spans="1:8" s="62" customFormat="1" x14ac:dyDescent="0.2">
      <c r="B426" s="87" t="s">
        <v>740</v>
      </c>
      <c r="C426" s="88"/>
      <c r="D426" s="88"/>
      <c r="E426" s="88"/>
      <c r="F426" s="88"/>
      <c r="G426" s="88"/>
      <c r="H426" s="89"/>
    </row>
    <row r="427" spans="1:8" s="62" customFormat="1" x14ac:dyDescent="0.2">
      <c r="B427" s="90" t="s">
        <v>741</v>
      </c>
      <c r="H427" s="91"/>
    </row>
    <row r="428" spans="1:8" s="62" customFormat="1" x14ac:dyDescent="0.2">
      <c r="B428" s="90" t="s">
        <v>742</v>
      </c>
      <c r="H428" s="91"/>
    </row>
    <row r="429" spans="1:8" s="62" customFormat="1" ht="17" thickBot="1" x14ac:dyDescent="0.25">
      <c r="B429" s="92" t="s">
        <v>743</v>
      </c>
      <c r="C429" s="93"/>
      <c r="D429" s="93"/>
      <c r="E429" s="93"/>
      <c r="F429" s="93"/>
      <c r="G429" s="93"/>
      <c r="H429" s="94"/>
    </row>
    <row r="431" spans="1:8" x14ac:dyDescent="0.2">
      <c r="A431" s="1" t="s">
        <v>744</v>
      </c>
    </row>
    <row r="432" spans="1:8" x14ac:dyDescent="0.2">
      <c r="B432" s="1" t="s">
        <v>745</v>
      </c>
    </row>
    <row r="433" spans="1:2" x14ac:dyDescent="0.2">
      <c r="B433" s="1" t="s">
        <v>746</v>
      </c>
    </row>
    <row r="434" spans="1:2" x14ac:dyDescent="0.2">
      <c r="B434" s="1" t="s">
        <v>747</v>
      </c>
    </row>
    <row r="435" spans="1:2" x14ac:dyDescent="0.2">
      <c r="B435" s="1" t="s">
        <v>748</v>
      </c>
    </row>
    <row r="436" spans="1:2" x14ac:dyDescent="0.2">
      <c r="B436" s="1" t="s">
        <v>749</v>
      </c>
    </row>
    <row r="437" spans="1:2" x14ac:dyDescent="0.2">
      <c r="B437" s="1" t="s">
        <v>750</v>
      </c>
    </row>
    <row r="440" spans="1:2" x14ac:dyDescent="0.2">
      <c r="A440" s="1" t="s">
        <v>751</v>
      </c>
    </row>
    <row r="441" spans="1:2" x14ac:dyDescent="0.2">
      <c r="B441" s="1" t="s">
        <v>752</v>
      </c>
    </row>
    <row r="442" spans="1:2" x14ac:dyDescent="0.2">
      <c r="B442" s="1" t="s">
        <v>753</v>
      </c>
    </row>
    <row r="443" spans="1:2" x14ac:dyDescent="0.2">
      <c r="B443" s="1" t="s">
        <v>754</v>
      </c>
    </row>
    <row r="444" spans="1:2" x14ac:dyDescent="0.2">
      <c r="B444" s="1" t="s">
        <v>755</v>
      </c>
    </row>
    <row r="445" spans="1:2" x14ac:dyDescent="0.2">
      <c r="B445" s="1" t="s">
        <v>756</v>
      </c>
    </row>
    <row r="446" spans="1:2" x14ac:dyDescent="0.2">
      <c r="B446" s="1" t="s">
        <v>757</v>
      </c>
    </row>
    <row r="447" spans="1:2" x14ac:dyDescent="0.2">
      <c r="B447" s="1" t="s">
        <v>909</v>
      </c>
    </row>
    <row r="448" spans="1:2" x14ac:dyDescent="0.2">
      <c r="B448" s="1" t="s">
        <v>758</v>
      </c>
    </row>
    <row r="449" spans="1:2" x14ac:dyDescent="0.2">
      <c r="B449" s="1" t="s">
        <v>759</v>
      </c>
    </row>
    <row r="450" spans="1:2" x14ac:dyDescent="0.2">
      <c r="B450" s="1" t="s">
        <v>910</v>
      </c>
    </row>
    <row r="451" spans="1:2" x14ac:dyDescent="0.2">
      <c r="B451" s="1" t="s">
        <v>760</v>
      </c>
    </row>
    <row r="452" spans="1:2" x14ac:dyDescent="0.2">
      <c r="B452" s="1" t="s">
        <v>761</v>
      </c>
    </row>
    <row r="455" spans="1:2" x14ac:dyDescent="0.2">
      <c r="A455" s="1" t="s">
        <v>762</v>
      </c>
    </row>
    <row r="456" spans="1:2" x14ac:dyDescent="0.2">
      <c r="B456" s="1" t="s">
        <v>763</v>
      </c>
    </row>
    <row r="457" spans="1:2" x14ac:dyDescent="0.2">
      <c r="B457" s="1" t="s">
        <v>764</v>
      </c>
    </row>
    <row r="458" spans="1:2" x14ac:dyDescent="0.2">
      <c r="B458" s="1" t="s">
        <v>765</v>
      </c>
    </row>
    <row r="460" spans="1:2" x14ac:dyDescent="0.2">
      <c r="A460" s="1" t="s">
        <v>766</v>
      </c>
    </row>
    <row r="461" spans="1:2" x14ac:dyDescent="0.2">
      <c r="B461" s="1" t="s">
        <v>767</v>
      </c>
    </row>
    <row r="462" spans="1:2" x14ac:dyDescent="0.2">
      <c r="B462" s="1" t="s">
        <v>768</v>
      </c>
    </row>
    <row r="463" spans="1:2" x14ac:dyDescent="0.2">
      <c r="B463" s="1" t="s">
        <v>769</v>
      </c>
    </row>
    <row r="464" spans="1:2" x14ac:dyDescent="0.2">
      <c r="B464" s="1" t="s">
        <v>770</v>
      </c>
    </row>
    <row r="465" spans="1:8" x14ac:dyDescent="0.2">
      <c r="B465" s="1" t="s">
        <v>771</v>
      </c>
    </row>
    <row r="466" spans="1:8" x14ac:dyDescent="0.2">
      <c r="B466" s="1" t="s">
        <v>772</v>
      </c>
    </row>
    <row r="468" spans="1:8" x14ac:dyDescent="0.2">
      <c r="A468" s="1" t="s">
        <v>773</v>
      </c>
    </row>
    <row r="469" spans="1:8" x14ac:dyDescent="0.2">
      <c r="B469" s="1" t="s">
        <v>774</v>
      </c>
    </row>
    <row r="470" spans="1:8" x14ac:dyDescent="0.2">
      <c r="B470" s="1" t="s">
        <v>775</v>
      </c>
    </row>
    <row r="471" spans="1:8" x14ac:dyDescent="0.2">
      <c r="B471" s="1" t="s">
        <v>776</v>
      </c>
    </row>
    <row r="472" spans="1:8" x14ac:dyDescent="0.2">
      <c r="B472" s="1" t="s">
        <v>777</v>
      </c>
    </row>
    <row r="473" spans="1:8" x14ac:dyDescent="0.2">
      <c r="B473" s="1" t="s">
        <v>778</v>
      </c>
    </row>
    <row r="475" spans="1:8" x14ac:dyDescent="0.2">
      <c r="A475" s="1" t="s">
        <v>779</v>
      </c>
    </row>
    <row r="476" spans="1:8" x14ac:dyDescent="0.2">
      <c r="B476" s="1" t="s">
        <v>780</v>
      </c>
    </row>
    <row r="477" spans="1:8" x14ac:dyDescent="0.2">
      <c r="B477" s="1" t="s">
        <v>781</v>
      </c>
    </row>
    <row r="479" spans="1:8" x14ac:dyDescent="0.2">
      <c r="A479" s="83" t="s">
        <v>782</v>
      </c>
      <c r="B479" s="84"/>
      <c r="C479" s="84"/>
      <c r="D479" s="84"/>
      <c r="E479" s="84"/>
      <c r="F479" s="84"/>
      <c r="G479" s="84"/>
      <c r="H479" s="84"/>
    </row>
    <row r="481" spans="1:1" x14ac:dyDescent="0.2">
      <c r="A481" s="1" t="s">
        <v>783</v>
      </c>
    </row>
    <row r="482" spans="1:1" x14ac:dyDescent="0.2">
      <c r="A482" s="1" t="s">
        <v>784</v>
      </c>
    </row>
    <row r="483" spans="1:1" x14ac:dyDescent="0.2">
      <c r="A483" s="1" t="s">
        <v>785</v>
      </c>
    </row>
    <row r="484" spans="1:1" x14ac:dyDescent="0.2">
      <c r="A484" s="1" t="s">
        <v>786</v>
      </c>
    </row>
    <row r="485" spans="1:1" x14ac:dyDescent="0.2">
      <c r="A485" s="1" t="s">
        <v>787</v>
      </c>
    </row>
    <row r="486" spans="1:1" x14ac:dyDescent="0.2">
      <c r="A486" s="1" t="s">
        <v>788</v>
      </c>
    </row>
    <row r="487" spans="1:1" x14ac:dyDescent="0.2">
      <c r="A487" s="1" t="s">
        <v>2919</v>
      </c>
    </row>
    <row r="488" spans="1:1" x14ac:dyDescent="0.2">
      <c r="A488" s="1" t="s">
        <v>789</v>
      </c>
    </row>
    <row r="498" spans="1:8" x14ac:dyDescent="0.2">
      <c r="A498" s="1" t="s">
        <v>790</v>
      </c>
    </row>
    <row r="499" spans="1:8" x14ac:dyDescent="0.2">
      <c r="A499" s="1" t="s">
        <v>791</v>
      </c>
    </row>
    <row r="500" spans="1:8" x14ac:dyDescent="0.2">
      <c r="A500" s="1" t="s">
        <v>792</v>
      </c>
    </row>
    <row r="501" spans="1:8" x14ac:dyDescent="0.2">
      <c r="A501" s="1" t="s">
        <v>793</v>
      </c>
    </row>
    <row r="502" spans="1:8" x14ac:dyDescent="0.2">
      <c r="A502" s="1" t="s">
        <v>794</v>
      </c>
    </row>
    <row r="504" spans="1:8" x14ac:dyDescent="0.2">
      <c r="A504" s="1" t="s">
        <v>683</v>
      </c>
    </row>
    <row r="505" spans="1:8" x14ac:dyDescent="0.2">
      <c r="A505" s="1" t="s">
        <v>795</v>
      </c>
    </row>
    <row r="507" spans="1:8" x14ac:dyDescent="0.2">
      <c r="A507" s="83" t="s">
        <v>796</v>
      </c>
      <c r="B507" s="84"/>
      <c r="C507" s="84"/>
      <c r="D507" s="84"/>
      <c r="E507" s="84"/>
      <c r="F507" s="84"/>
      <c r="G507" s="84"/>
      <c r="H507" s="84"/>
    </row>
    <row r="508" spans="1:8" s="62" customFormat="1" x14ac:dyDescent="0.2"/>
    <row r="509" spans="1:8" s="62" customFormat="1" x14ac:dyDescent="0.2">
      <c r="A509" s="95" t="s">
        <v>797</v>
      </c>
      <c r="B509" s="95" t="s">
        <v>798</v>
      </c>
      <c r="C509" s="95" t="s">
        <v>799</v>
      </c>
      <c r="D509" s="95" t="s">
        <v>800</v>
      </c>
      <c r="E509" s="95" t="s">
        <v>801</v>
      </c>
    </row>
    <row r="510" spans="1:8" s="62" customFormat="1" x14ac:dyDescent="0.2">
      <c r="A510" s="62">
        <v>2017</v>
      </c>
      <c r="B510" s="60">
        <v>500000</v>
      </c>
      <c r="C510" s="60">
        <f>B510</f>
        <v>500000</v>
      </c>
      <c r="E510" s="62" t="s">
        <v>802</v>
      </c>
    </row>
    <row r="511" spans="1:8" s="62" customFormat="1" x14ac:dyDescent="0.2">
      <c r="A511" s="62">
        <v>2018</v>
      </c>
      <c r="B511" s="60">
        <v>300000</v>
      </c>
      <c r="C511" s="60">
        <f>B511</f>
        <v>300000</v>
      </c>
      <c r="E511" s="62" t="s">
        <v>802</v>
      </c>
    </row>
    <row r="512" spans="1:8" s="62" customFormat="1" x14ac:dyDescent="0.2">
      <c r="A512" s="62">
        <v>2019</v>
      </c>
      <c r="B512" s="60">
        <v>450000</v>
      </c>
      <c r="C512" s="60">
        <f>B512</f>
        <v>450000</v>
      </c>
      <c r="E512" s="62" t="s">
        <v>803</v>
      </c>
    </row>
    <row r="513" spans="1:5" s="62" customFormat="1" x14ac:dyDescent="0.2">
      <c r="A513" s="62">
        <v>2020</v>
      </c>
      <c r="B513" s="60">
        <v>600000</v>
      </c>
      <c r="C513" s="60">
        <f>B513</f>
        <v>600000</v>
      </c>
      <c r="E513" s="62" t="s">
        <v>804</v>
      </c>
    </row>
    <row r="514" spans="1:5" s="62" customFormat="1" x14ac:dyDescent="0.2">
      <c r="A514" s="62">
        <v>2021</v>
      </c>
      <c r="B514" s="60">
        <v>1000000</v>
      </c>
      <c r="D514" s="60">
        <f>B514</f>
        <v>1000000</v>
      </c>
      <c r="E514" s="62" t="s">
        <v>805</v>
      </c>
    </row>
    <row r="515" spans="1:5" s="62" customFormat="1" x14ac:dyDescent="0.2"/>
    <row r="516" spans="1:5" s="62" customFormat="1" x14ac:dyDescent="0.2">
      <c r="A516" s="96" t="s">
        <v>308</v>
      </c>
      <c r="B516" s="62" t="s">
        <v>806</v>
      </c>
    </row>
    <row r="517" spans="1:5" s="62" customFormat="1" x14ac:dyDescent="0.2">
      <c r="B517" s="62" t="s">
        <v>807</v>
      </c>
    </row>
    <row r="518" spans="1:5" s="62" customFormat="1" x14ac:dyDescent="0.2">
      <c r="B518" s="62" t="s">
        <v>808</v>
      </c>
    </row>
    <row r="519" spans="1:5" s="62" customFormat="1" x14ac:dyDescent="0.2">
      <c r="B519" s="62" t="s">
        <v>809</v>
      </c>
    </row>
    <row r="520" spans="1:5" s="62" customFormat="1" x14ac:dyDescent="0.2"/>
    <row r="521" spans="1:5" s="62" customFormat="1" x14ac:dyDescent="0.2"/>
    <row r="522" spans="1:5" s="62" customFormat="1" x14ac:dyDescent="0.2"/>
    <row r="523" spans="1:5" s="62" customFormat="1" x14ac:dyDescent="0.2"/>
    <row r="524" spans="1:5" s="62" customFormat="1" x14ac:dyDescent="0.2"/>
    <row r="525" spans="1:5" s="62" customFormat="1" x14ac:dyDescent="0.2"/>
    <row r="526" spans="1:5" s="62" customFormat="1" x14ac:dyDescent="0.2"/>
    <row r="527" spans="1:5" s="62" customFormat="1" x14ac:dyDescent="0.2"/>
    <row r="528" spans="1:5" s="62" customFormat="1" x14ac:dyDescent="0.2"/>
    <row r="529" spans="1:8" s="62" customFormat="1" x14ac:dyDescent="0.2"/>
    <row r="530" spans="1:8" s="62" customFormat="1" x14ac:dyDescent="0.2"/>
    <row r="531" spans="1:8" s="62" customFormat="1" x14ac:dyDescent="0.2"/>
    <row r="532" spans="1:8" s="62" customFormat="1" x14ac:dyDescent="0.2"/>
    <row r="533" spans="1:8" s="62" customFormat="1" x14ac:dyDescent="0.2"/>
    <row r="534" spans="1:8" s="62" customFormat="1" x14ac:dyDescent="0.2"/>
    <row r="535" spans="1:8" s="62" customFormat="1" x14ac:dyDescent="0.2"/>
    <row r="536" spans="1:8" s="62" customFormat="1" x14ac:dyDescent="0.2"/>
    <row r="537" spans="1:8" s="62" customFormat="1" x14ac:dyDescent="0.2"/>
    <row r="538" spans="1:8" s="62" customFormat="1" x14ac:dyDescent="0.2"/>
    <row r="539" spans="1:8" s="62" customFormat="1" x14ac:dyDescent="0.2"/>
    <row r="540" spans="1:8" s="62" customFormat="1" x14ac:dyDescent="0.2"/>
    <row r="541" spans="1:8" s="62" customFormat="1" x14ac:dyDescent="0.2"/>
    <row r="542" spans="1:8" x14ac:dyDescent="0.2">
      <c r="A542" s="65" t="s">
        <v>810</v>
      </c>
      <c r="B542" s="65"/>
      <c r="C542" s="65"/>
      <c r="D542" s="65"/>
      <c r="E542" s="65"/>
      <c r="F542" s="65"/>
      <c r="G542" s="65"/>
      <c r="H542" s="65"/>
    </row>
    <row r="543" spans="1:8" x14ac:dyDescent="0.2">
      <c r="A543" s="1" t="s">
        <v>967</v>
      </c>
    </row>
    <row r="544" spans="1:8" x14ac:dyDescent="0.2">
      <c r="A544" s="1" t="s">
        <v>968</v>
      </c>
    </row>
    <row r="545" spans="1:2" x14ac:dyDescent="0.2">
      <c r="A545" s="1" t="s">
        <v>969</v>
      </c>
    </row>
    <row r="546" spans="1:2" x14ac:dyDescent="0.2">
      <c r="A546" s="1" t="s">
        <v>970</v>
      </c>
    </row>
    <row r="548" spans="1:2" x14ac:dyDescent="0.2">
      <c r="A548" s="1" t="s">
        <v>811</v>
      </c>
    </row>
    <row r="549" spans="1:2" x14ac:dyDescent="0.2">
      <c r="B549" s="1" t="s">
        <v>916</v>
      </c>
    </row>
    <row r="550" spans="1:2" x14ac:dyDescent="0.2">
      <c r="B550" s="1" t="s">
        <v>812</v>
      </c>
    </row>
    <row r="551" spans="1:2" x14ac:dyDescent="0.2">
      <c r="B551" s="1" t="s">
        <v>813</v>
      </c>
    </row>
    <row r="553" spans="1:2" x14ac:dyDescent="0.2">
      <c r="B553" s="1" t="s">
        <v>2920</v>
      </c>
    </row>
    <row r="554" spans="1:2" x14ac:dyDescent="0.2">
      <c r="B554" s="1" t="s">
        <v>2921</v>
      </c>
    </row>
    <row r="555" spans="1:2" x14ac:dyDescent="0.2">
      <c r="B555" s="1" t="s">
        <v>2922</v>
      </c>
    </row>
    <row r="556" spans="1:2" x14ac:dyDescent="0.2">
      <c r="B556" s="1" t="s">
        <v>2923</v>
      </c>
    </row>
    <row r="558" spans="1:2" x14ac:dyDescent="0.2">
      <c r="B558" s="1" t="s">
        <v>2924</v>
      </c>
    </row>
    <row r="560" spans="1:2" x14ac:dyDescent="0.2">
      <c r="A560" s="1" t="s">
        <v>814</v>
      </c>
    </row>
    <row r="561" spans="1:2" x14ac:dyDescent="0.2">
      <c r="B561" s="1" t="s">
        <v>815</v>
      </c>
    </row>
    <row r="562" spans="1:2" x14ac:dyDescent="0.2">
      <c r="B562" s="1" t="s">
        <v>816</v>
      </c>
    </row>
    <row r="563" spans="1:2" x14ac:dyDescent="0.2">
      <c r="B563" s="1" t="s">
        <v>817</v>
      </c>
    </row>
    <row r="564" spans="1:2" x14ac:dyDescent="0.2">
      <c r="B564" s="1" t="s">
        <v>818</v>
      </c>
    </row>
    <row r="565" spans="1:2" x14ac:dyDescent="0.2">
      <c r="B565" s="1" t="s">
        <v>819</v>
      </c>
    </row>
    <row r="566" spans="1:2" x14ac:dyDescent="0.2">
      <c r="B566" s="1" t="s">
        <v>820</v>
      </c>
    </row>
    <row r="567" spans="1:2" x14ac:dyDescent="0.2">
      <c r="B567" s="1" t="s">
        <v>821</v>
      </c>
    </row>
    <row r="569" spans="1:2" x14ac:dyDescent="0.2">
      <c r="A569" s="1" t="s">
        <v>822</v>
      </c>
    </row>
    <row r="570" spans="1:2" x14ac:dyDescent="0.2">
      <c r="B570" s="1" t="s">
        <v>923</v>
      </c>
    </row>
    <row r="571" spans="1:2" x14ac:dyDescent="0.2">
      <c r="B571" s="1" t="s">
        <v>823</v>
      </c>
    </row>
    <row r="572" spans="1:2" x14ac:dyDescent="0.2">
      <c r="B572" s="1" t="s">
        <v>824</v>
      </c>
    </row>
    <row r="573" spans="1:2" x14ac:dyDescent="0.2">
      <c r="B573" s="1" t="s">
        <v>825</v>
      </c>
    </row>
    <row r="574" spans="1:2" x14ac:dyDescent="0.2">
      <c r="B574" s="1" t="s">
        <v>826</v>
      </c>
    </row>
    <row r="575" spans="1:2" x14ac:dyDescent="0.2">
      <c r="B575" s="1" t="s">
        <v>827</v>
      </c>
    </row>
    <row r="577" spans="1:8" x14ac:dyDescent="0.2">
      <c r="B577" s="1" t="s">
        <v>2925</v>
      </c>
    </row>
    <row r="578" spans="1:8" x14ac:dyDescent="0.2">
      <c r="B578" s="1" t="s">
        <v>2926</v>
      </c>
    </row>
    <row r="579" spans="1:8" x14ac:dyDescent="0.2">
      <c r="B579" s="1" t="s">
        <v>2927</v>
      </c>
    </row>
    <row r="580" spans="1:8" x14ac:dyDescent="0.2">
      <c r="B580" s="1" t="s">
        <v>2928</v>
      </c>
    </row>
    <row r="582" spans="1:8" x14ac:dyDescent="0.2">
      <c r="A582" s="30" t="s">
        <v>810</v>
      </c>
      <c r="B582" s="65"/>
      <c r="C582" s="65"/>
      <c r="D582" s="65"/>
      <c r="E582" s="65"/>
      <c r="F582" s="65"/>
      <c r="G582" s="65"/>
      <c r="H582" s="65"/>
    </row>
    <row r="583" spans="1:8" x14ac:dyDescent="0.2">
      <c r="A583" s="8" t="s">
        <v>911</v>
      </c>
      <c r="B583" s="8"/>
      <c r="C583" s="8"/>
      <c r="D583" s="8"/>
      <c r="E583" s="8"/>
      <c r="F583" s="8"/>
      <c r="G583" s="8"/>
      <c r="H583" s="8"/>
    </row>
    <row r="584" spans="1:8" x14ac:dyDescent="0.2">
      <c r="A584" s="8" t="s">
        <v>912</v>
      </c>
      <c r="B584" s="8"/>
      <c r="C584" s="8"/>
      <c r="D584" s="8"/>
      <c r="E584" s="8"/>
      <c r="F584" s="8"/>
      <c r="G584" s="8"/>
      <c r="H584" s="8"/>
    </row>
    <row r="585" spans="1:8" ht="17" thickBot="1" x14ac:dyDescent="0.25"/>
    <row r="586" spans="1:8" s="62" customFormat="1" x14ac:dyDescent="0.2">
      <c r="A586" s="98" t="s">
        <v>2929</v>
      </c>
      <c r="B586" s="88"/>
      <c r="C586" s="88"/>
      <c r="D586" s="88"/>
      <c r="E586" s="88"/>
      <c r="F586" s="88"/>
      <c r="G586" s="88"/>
      <c r="H586" s="89"/>
    </row>
    <row r="587" spans="1:8" s="62" customFormat="1" x14ac:dyDescent="0.2">
      <c r="A587" s="99" t="s">
        <v>913</v>
      </c>
      <c r="H587" s="91"/>
    </row>
    <row r="588" spans="1:8" s="62" customFormat="1" x14ac:dyDescent="0.2">
      <c r="A588" s="99" t="s">
        <v>914</v>
      </c>
      <c r="H588" s="91"/>
    </row>
    <row r="589" spans="1:8" s="62" customFormat="1" x14ac:dyDescent="0.2">
      <c r="A589" s="99" t="s">
        <v>2930</v>
      </c>
      <c r="H589" s="91"/>
    </row>
    <row r="590" spans="1:8" s="62" customFormat="1" x14ac:dyDescent="0.2">
      <c r="A590" s="99" t="s">
        <v>915</v>
      </c>
      <c r="H590" s="91"/>
    </row>
    <row r="591" spans="1:8" s="62" customFormat="1" ht="17" thickBot="1" x14ac:dyDescent="0.25">
      <c r="A591" s="100" t="s">
        <v>2931</v>
      </c>
      <c r="B591" s="93"/>
      <c r="C591" s="93"/>
      <c r="D591" s="93"/>
      <c r="E591" s="93"/>
      <c r="F591" s="93"/>
      <c r="G591" s="93"/>
      <c r="H591" s="94"/>
    </row>
    <row r="593" spans="1:8" x14ac:dyDescent="0.2">
      <c r="A593" s="3" t="s">
        <v>811</v>
      </c>
      <c r="B593" s="3"/>
    </row>
    <row r="594" spans="1:8" x14ac:dyDescent="0.2">
      <c r="B594" s="1" t="s">
        <v>916</v>
      </c>
    </row>
    <row r="595" spans="1:8" x14ac:dyDescent="0.2">
      <c r="B595" s="1" t="s">
        <v>812</v>
      </c>
    </row>
    <row r="596" spans="1:8" x14ac:dyDescent="0.2">
      <c r="B596" s="1" t="s">
        <v>813</v>
      </c>
    </row>
    <row r="597" spans="1:8" ht="17" thickBot="1" x14ac:dyDescent="0.25"/>
    <row r="598" spans="1:8" s="62" customFormat="1" x14ac:dyDescent="0.2">
      <c r="A598" s="98" t="s">
        <v>917</v>
      </c>
      <c r="B598" s="101"/>
      <c r="C598" s="101"/>
      <c r="D598" s="101"/>
      <c r="E598" s="101"/>
      <c r="F598" s="101"/>
      <c r="G598" s="101"/>
      <c r="H598" s="102"/>
    </row>
    <row r="599" spans="1:8" s="62" customFormat="1" x14ac:dyDescent="0.2">
      <c r="A599" s="99" t="s">
        <v>918</v>
      </c>
      <c r="B599" s="19"/>
      <c r="C599" s="19"/>
      <c r="D599" s="19"/>
      <c r="E599" s="19"/>
      <c r="F599" s="19"/>
      <c r="G599" s="19"/>
      <c r="H599" s="103"/>
    </row>
    <row r="600" spans="1:8" s="62" customFormat="1" ht="17" thickBot="1" x14ac:dyDescent="0.25">
      <c r="A600" s="100" t="s">
        <v>919</v>
      </c>
      <c r="B600" s="104"/>
      <c r="C600" s="104"/>
      <c r="D600" s="104"/>
      <c r="E600" s="104"/>
      <c r="F600" s="104"/>
      <c r="G600" s="104"/>
      <c r="H600" s="105"/>
    </row>
    <row r="602" spans="1:8" x14ac:dyDescent="0.2">
      <c r="A602" s="3" t="s">
        <v>814</v>
      </c>
    </row>
    <row r="603" spans="1:8" x14ac:dyDescent="0.2">
      <c r="B603" s="1" t="s">
        <v>815</v>
      </c>
    </row>
    <row r="604" spans="1:8" x14ac:dyDescent="0.2">
      <c r="B604" s="1" t="s">
        <v>816</v>
      </c>
    </row>
    <row r="605" spans="1:8" x14ac:dyDescent="0.2">
      <c r="B605" s="1" t="s">
        <v>817</v>
      </c>
    </row>
    <row r="606" spans="1:8" x14ac:dyDescent="0.2">
      <c r="B606" s="1" t="s">
        <v>818</v>
      </c>
    </row>
    <row r="607" spans="1:8" x14ac:dyDescent="0.2">
      <c r="B607" s="1" t="s">
        <v>819</v>
      </c>
    </row>
    <row r="608" spans="1:8" x14ac:dyDescent="0.2">
      <c r="B608" s="1" t="s">
        <v>820</v>
      </c>
    </row>
    <row r="609" spans="1:8" x14ac:dyDescent="0.2">
      <c r="B609" s="1" t="s">
        <v>821</v>
      </c>
    </row>
    <row r="610" spans="1:8" ht="17" thickBot="1" x14ac:dyDescent="0.25"/>
    <row r="611" spans="1:8" s="62" customFormat="1" x14ac:dyDescent="0.2">
      <c r="A611" s="98" t="s">
        <v>920</v>
      </c>
      <c r="B611" s="101"/>
      <c r="C611" s="101"/>
      <c r="D611" s="101"/>
      <c r="E611" s="101"/>
      <c r="F611" s="101"/>
      <c r="G611" s="101"/>
      <c r="H611" s="102"/>
    </row>
    <row r="612" spans="1:8" s="62" customFormat="1" x14ac:dyDescent="0.2">
      <c r="A612" s="99" t="s">
        <v>921</v>
      </c>
      <c r="B612" s="19"/>
      <c r="C612" s="19"/>
      <c r="D612" s="19"/>
      <c r="E612" s="19"/>
      <c r="F612" s="19"/>
      <c r="G612" s="19"/>
      <c r="H612" s="103"/>
    </row>
    <row r="613" spans="1:8" s="62" customFormat="1" ht="17" thickBot="1" x14ac:dyDescent="0.25">
      <c r="A613" s="100" t="s">
        <v>922</v>
      </c>
      <c r="B613" s="104"/>
      <c r="C613" s="104"/>
      <c r="D613" s="104"/>
      <c r="E613" s="104"/>
      <c r="F613" s="104"/>
      <c r="G613" s="104"/>
      <c r="H613" s="105"/>
    </row>
    <row r="615" spans="1:8" x14ac:dyDescent="0.2">
      <c r="A615" s="1" t="s">
        <v>822</v>
      </c>
    </row>
    <row r="616" spans="1:8" x14ac:dyDescent="0.2">
      <c r="B616" s="1" t="s">
        <v>923</v>
      </c>
    </row>
    <row r="617" spans="1:8" x14ac:dyDescent="0.2">
      <c r="B617" s="1" t="s">
        <v>823</v>
      </c>
    </row>
    <row r="618" spans="1:8" x14ac:dyDescent="0.2">
      <c r="B618" s="1" t="s">
        <v>824</v>
      </c>
    </row>
    <row r="619" spans="1:8" x14ac:dyDescent="0.2">
      <c r="B619" s="1" t="s">
        <v>825</v>
      </c>
    </row>
    <row r="620" spans="1:8" x14ac:dyDescent="0.2">
      <c r="B620" s="1" t="s">
        <v>826</v>
      </c>
    </row>
    <row r="621" spans="1:8" x14ac:dyDescent="0.2">
      <c r="B621" s="1" t="s">
        <v>827</v>
      </c>
    </row>
    <row r="623" spans="1:8" x14ac:dyDescent="0.2">
      <c r="A623" s="1" t="s">
        <v>924</v>
      </c>
    </row>
    <row r="625" spans="1:8" x14ac:dyDescent="0.2">
      <c r="A625" s="8" t="s">
        <v>925</v>
      </c>
      <c r="B625" s="8"/>
      <c r="C625" s="8"/>
      <c r="D625" s="8"/>
      <c r="E625" s="8"/>
      <c r="F625" s="8"/>
      <c r="G625" s="8"/>
      <c r="H625" s="8"/>
    </row>
    <row r="626" spans="1:8" s="62" customFormat="1" x14ac:dyDescent="0.2">
      <c r="A626" s="19"/>
      <c r="B626" s="19"/>
      <c r="C626" s="19"/>
      <c r="D626" s="19"/>
      <c r="E626" s="19"/>
      <c r="F626" s="19"/>
      <c r="G626" s="19"/>
      <c r="H626" s="19"/>
    </row>
    <row r="627" spans="1:8" s="62" customFormat="1" x14ac:dyDescent="0.2">
      <c r="A627" s="19" t="s">
        <v>926</v>
      </c>
      <c r="B627" s="19"/>
      <c r="C627" s="19"/>
      <c r="D627" s="19"/>
      <c r="E627" s="19"/>
      <c r="F627" s="19"/>
      <c r="G627" s="19"/>
      <c r="H627" s="19"/>
    </row>
    <row r="628" spans="1:8" s="62" customFormat="1" x14ac:dyDescent="0.2">
      <c r="A628" s="19" t="s">
        <v>927</v>
      </c>
      <c r="B628" s="19"/>
      <c r="C628" s="19"/>
      <c r="D628" s="19"/>
      <c r="E628" s="19"/>
      <c r="F628" s="19"/>
      <c r="G628" s="19"/>
      <c r="H628" s="19"/>
    </row>
    <row r="629" spans="1:8" s="62" customFormat="1" x14ac:dyDescent="0.2"/>
    <row r="630" spans="1:8" s="62" customFormat="1" x14ac:dyDescent="0.2">
      <c r="A630" s="19" t="s">
        <v>928</v>
      </c>
    </row>
    <row r="631" spans="1:8" s="62" customFormat="1" x14ac:dyDescent="0.2">
      <c r="A631" s="19" t="s">
        <v>929</v>
      </c>
    </row>
    <row r="632" spans="1:8" s="62" customFormat="1" x14ac:dyDescent="0.2"/>
    <row r="633" spans="1:8" x14ac:dyDescent="0.2">
      <c r="A633" s="83" t="s">
        <v>828</v>
      </c>
      <c r="B633" s="84"/>
      <c r="C633" s="84"/>
      <c r="D633" s="84"/>
      <c r="E633" s="84"/>
      <c r="F633" s="84"/>
      <c r="G633" s="84"/>
      <c r="H633" s="84"/>
    </row>
    <row r="634" spans="1:8" x14ac:dyDescent="0.2">
      <c r="A634" s="1" t="s">
        <v>829</v>
      </c>
    </row>
    <row r="635" spans="1:8" x14ac:dyDescent="0.2">
      <c r="A635" s="1" t="s">
        <v>830</v>
      </c>
    </row>
    <row r="636" spans="1:8" x14ac:dyDescent="0.2">
      <c r="A636" s="1" t="s">
        <v>930</v>
      </c>
    </row>
    <row r="637" spans="1:8" x14ac:dyDescent="0.2">
      <c r="A637" s="1" t="s">
        <v>831</v>
      </c>
    </row>
    <row r="638" spans="1:8" x14ac:dyDescent="0.2">
      <c r="A638" s="1" t="s">
        <v>832</v>
      </c>
    </row>
    <row r="639" spans="1:8" x14ac:dyDescent="0.2">
      <c r="A639" s="1" t="s">
        <v>833</v>
      </c>
    </row>
    <row r="640" spans="1:8" x14ac:dyDescent="0.2">
      <c r="A640" s="1" t="s">
        <v>834</v>
      </c>
    </row>
    <row r="641" spans="1:10" x14ac:dyDescent="0.2">
      <c r="A641" s="1" t="s">
        <v>835</v>
      </c>
    </row>
    <row r="643" spans="1:10" x14ac:dyDescent="0.2">
      <c r="A643" s="1" t="s">
        <v>683</v>
      </c>
    </row>
    <row r="644" spans="1:10" x14ac:dyDescent="0.2">
      <c r="A644" s="1" t="s">
        <v>836</v>
      </c>
    </row>
    <row r="647" spans="1:10" x14ac:dyDescent="0.2">
      <c r="A647" s="83" t="s">
        <v>837</v>
      </c>
      <c r="B647" s="84"/>
      <c r="C647" s="84"/>
      <c r="D647" s="84"/>
      <c r="E647" s="84"/>
      <c r="F647" s="84"/>
      <c r="G647" s="84"/>
      <c r="H647" s="84"/>
    </row>
    <row r="649" spans="1:10" x14ac:dyDescent="0.2">
      <c r="A649" s="3" t="s">
        <v>931</v>
      </c>
    </row>
    <row r="650" spans="1:10" x14ac:dyDescent="0.2">
      <c r="A650" s="1" t="s">
        <v>830</v>
      </c>
    </row>
    <row r="651" spans="1:10" x14ac:dyDescent="0.2">
      <c r="A651" s="1" t="s">
        <v>930</v>
      </c>
    </row>
    <row r="652" spans="1:10" x14ac:dyDescent="0.2">
      <c r="A652" s="1" t="s">
        <v>831</v>
      </c>
    </row>
    <row r="653" spans="1:10" x14ac:dyDescent="0.2">
      <c r="A653" s="1" t="s">
        <v>832</v>
      </c>
    </row>
    <row r="654" spans="1:10" x14ac:dyDescent="0.2">
      <c r="A654" s="1" t="s">
        <v>833</v>
      </c>
    </row>
    <row r="655" spans="1:10" ht="17" thickBot="1" x14ac:dyDescent="0.25">
      <c r="A655" s="3"/>
    </row>
    <row r="656" spans="1:10" s="62" customFormat="1" x14ac:dyDescent="0.2">
      <c r="A656" s="87" t="s">
        <v>932</v>
      </c>
      <c r="B656" s="88"/>
      <c r="C656" s="88"/>
      <c r="D656" s="88"/>
      <c r="E656" s="88"/>
      <c r="F656" s="88"/>
      <c r="G656" s="88"/>
      <c r="H656" s="89"/>
      <c r="J656" s="62" t="s">
        <v>2932</v>
      </c>
    </row>
    <row r="657" spans="1:11" s="62" customFormat="1" x14ac:dyDescent="0.2">
      <c r="A657" s="90" t="s">
        <v>933</v>
      </c>
      <c r="H657" s="91"/>
      <c r="J657" s="62" t="s">
        <v>2933</v>
      </c>
    </row>
    <row r="658" spans="1:11" s="62" customFormat="1" x14ac:dyDescent="0.2">
      <c r="A658" s="90" t="s">
        <v>934</v>
      </c>
      <c r="H658" s="91"/>
      <c r="J658" s="62" t="s">
        <v>2934</v>
      </c>
    </row>
    <row r="659" spans="1:11" s="62" customFormat="1" x14ac:dyDescent="0.2">
      <c r="A659" s="90" t="s">
        <v>935</v>
      </c>
      <c r="H659" s="91"/>
      <c r="J659" s="62" t="s">
        <v>2935</v>
      </c>
    </row>
    <row r="660" spans="1:11" s="62" customFormat="1" x14ac:dyDescent="0.2">
      <c r="A660" s="90" t="s">
        <v>971</v>
      </c>
      <c r="H660" s="91"/>
      <c r="J660" s="1" t="s">
        <v>2936</v>
      </c>
    </row>
    <row r="661" spans="1:11" s="62" customFormat="1" ht="17" thickBot="1" x14ac:dyDescent="0.25">
      <c r="A661" s="92" t="s">
        <v>972</v>
      </c>
      <c r="B661" s="93"/>
      <c r="C661" s="93"/>
      <c r="D661" s="93"/>
      <c r="E661" s="93"/>
      <c r="F661" s="93"/>
      <c r="G661" s="93"/>
      <c r="H661" s="94"/>
      <c r="J661" s="62" t="s">
        <v>2937</v>
      </c>
    </row>
    <row r="662" spans="1:11" x14ac:dyDescent="0.2">
      <c r="J662" s="1" t="s">
        <v>2938</v>
      </c>
    </row>
    <row r="663" spans="1:11" x14ac:dyDescent="0.2">
      <c r="A663" s="3" t="s">
        <v>936</v>
      </c>
    </row>
    <row r="664" spans="1:11" x14ac:dyDescent="0.2">
      <c r="A664" s="1" t="s">
        <v>834</v>
      </c>
    </row>
    <row r="665" spans="1:11" x14ac:dyDescent="0.2">
      <c r="A665" s="1" t="s">
        <v>835</v>
      </c>
      <c r="J665" s="7" t="s">
        <v>2939</v>
      </c>
      <c r="K665" s="7" t="s">
        <v>2943</v>
      </c>
    </row>
    <row r="666" spans="1:11" ht="17" thickBot="1" x14ac:dyDescent="0.25">
      <c r="A666" s="3"/>
      <c r="J666" s="7" t="s">
        <v>2940</v>
      </c>
      <c r="K666" s="7" t="s">
        <v>2944</v>
      </c>
    </row>
    <row r="667" spans="1:11" s="62" customFormat="1" x14ac:dyDescent="0.2">
      <c r="A667" s="87" t="s">
        <v>937</v>
      </c>
      <c r="B667" s="88"/>
      <c r="C667" s="88"/>
      <c r="D667" s="88"/>
      <c r="E667" s="88"/>
      <c r="F667" s="88"/>
      <c r="G667" s="88"/>
      <c r="H667" s="89"/>
      <c r="J667" s="122" t="s">
        <v>2941</v>
      </c>
      <c r="K667" s="122" t="s">
        <v>2945</v>
      </c>
    </row>
    <row r="668" spans="1:11" s="62" customFormat="1" x14ac:dyDescent="0.2">
      <c r="A668" s="90" t="s">
        <v>938</v>
      </c>
      <c r="H668" s="91"/>
      <c r="J668" s="122" t="s">
        <v>2942</v>
      </c>
      <c r="K668" s="122"/>
    </row>
    <row r="669" spans="1:11" s="62" customFormat="1" x14ac:dyDescent="0.2">
      <c r="A669" s="90" t="s">
        <v>939</v>
      </c>
      <c r="H669" s="91"/>
    </row>
    <row r="670" spans="1:11" s="62" customFormat="1" ht="17" thickBot="1" x14ac:dyDescent="0.25">
      <c r="A670" s="92" t="s">
        <v>940</v>
      </c>
      <c r="B670" s="93"/>
      <c r="C670" s="93"/>
      <c r="D670" s="93"/>
      <c r="E670" s="93"/>
      <c r="F670" s="93"/>
      <c r="G670" s="93"/>
      <c r="H670" s="94"/>
    </row>
    <row r="672" spans="1:11" s="62" customFormat="1" x14ac:dyDescent="0.2">
      <c r="A672" s="62" t="s">
        <v>941</v>
      </c>
    </row>
    <row r="673" spans="1:8" s="62" customFormat="1" x14ac:dyDescent="0.2">
      <c r="A673" s="62" t="s">
        <v>942</v>
      </c>
    </row>
    <row r="674" spans="1:8" s="62" customFormat="1" x14ac:dyDescent="0.2">
      <c r="A674" s="62" t="s">
        <v>943</v>
      </c>
    </row>
    <row r="675" spans="1:8" s="62" customFormat="1" x14ac:dyDescent="0.2">
      <c r="A675" s="62" t="s">
        <v>944</v>
      </c>
    </row>
    <row r="677" spans="1:8" x14ac:dyDescent="0.2">
      <c r="A677" s="30" t="s">
        <v>838</v>
      </c>
      <c r="B677" s="65"/>
      <c r="C677" s="65"/>
      <c r="D677" s="65"/>
      <c r="E677" s="65"/>
      <c r="F677" s="65"/>
      <c r="G677" s="65"/>
      <c r="H677" s="65"/>
    </row>
    <row r="679" spans="1:8" x14ac:dyDescent="0.2">
      <c r="A679" s="1" t="s">
        <v>839</v>
      </c>
    </row>
    <row r="680" spans="1:8" x14ac:dyDescent="0.2">
      <c r="B680" s="1" t="s">
        <v>2946</v>
      </c>
    </row>
    <row r="681" spans="1:8" x14ac:dyDescent="0.2">
      <c r="B681" s="1" t="s">
        <v>840</v>
      </c>
    </row>
    <row r="682" spans="1:8" x14ac:dyDescent="0.2">
      <c r="B682" s="1" t="s">
        <v>841</v>
      </c>
    </row>
    <row r="684" spans="1:8" x14ac:dyDescent="0.2">
      <c r="A684" s="1" t="s">
        <v>2947</v>
      </c>
    </row>
    <row r="685" spans="1:8" x14ac:dyDescent="0.2">
      <c r="B685" s="1" t="s">
        <v>2948</v>
      </c>
    </row>
    <row r="686" spans="1:8" x14ac:dyDescent="0.2">
      <c r="B686" s="1" t="s">
        <v>2949</v>
      </c>
    </row>
    <row r="688" spans="1:8" x14ac:dyDescent="0.2">
      <c r="A688" s="8" t="s">
        <v>945</v>
      </c>
    </row>
    <row r="689" spans="1:8" x14ac:dyDescent="0.2">
      <c r="A689" s="8" t="s">
        <v>946</v>
      </c>
    </row>
    <row r="691" spans="1:8" x14ac:dyDescent="0.2">
      <c r="A691" s="68" t="s">
        <v>947</v>
      </c>
      <c r="B691" s="97"/>
      <c r="C691" s="97"/>
      <c r="D691" s="97"/>
      <c r="E691" s="97"/>
      <c r="F691" s="97"/>
      <c r="G691" s="97"/>
      <c r="H691" s="97"/>
    </row>
    <row r="692" spans="1:8" x14ac:dyDescent="0.2">
      <c r="A692" s="68" t="s">
        <v>948</v>
      </c>
      <c r="B692" s="97"/>
      <c r="C692" s="97"/>
      <c r="D692" s="97"/>
      <c r="E692" s="97"/>
      <c r="F692" s="97"/>
      <c r="G692" s="97"/>
      <c r="H692" s="97"/>
    </row>
    <row r="693" spans="1:8" x14ac:dyDescent="0.2">
      <c r="A693" s="68" t="s">
        <v>949</v>
      </c>
      <c r="B693" s="97"/>
      <c r="C693" s="97"/>
      <c r="D693" s="97"/>
      <c r="E693" s="97"/>
      <c r="F693" s="97"/>
      <c r="G693" s="97"/>
      <c r="H693" s="97"/>
    </row>
    <row r="697" spans="1:8" x14ac:dyDescent="0.2">
      <c r="A697" s="83" t="s">
        <v>842</v>
      </c>
      <c r="B697" s="84"/>
      <c r="C697" s="84"/>
      <c r="D697" s="84"/>
      <c r="E697" s="84"/>
      <c r="F697" s="84"/>
      <c r="G697" s="84"/>
      <c r="H697" s="84"/>
    </row>
    <row r="698" spans="1:8" x14ac:dyDescent="0.2">
      <c r="A698" s="1" t="s">
        <v>843</v>
      </c>
    </row>
    <row r="699" spans="1:8" x14ac:dyDescent="0.2">
      <c r="A699" s="1" t="s">
        <v>844</v>
      </c>
    </row>
    <row r="700" spans="1:8" x14ac:dyDescent="0.2">
      <c r="A700" s="1" t="s">
        <v>845</v>
      </c>
    </row>
    <row r="701" spans="1:8" x14ac:dyDescent="0.2">
      <c r="A701" s="1" t="s">
        <v>846</v>
      </c>
    </row>
    <row r="703" spans="1:8" x14ac:dyDescent="0.2">
      <c r="A703" s="83" t="s">
        <v>847</v>
      </c>
      <c r="B703" s="84"/>
      <c r="C703" s="84"/>
      <c r="D703" s="84"/>
      <c r="E703" s="84"/>
      <c r="F703" s="84"/>
      <c r="G703" s="84"/>
      <c r="H703" s="84"/>
    </row>
    <row r="704" spans="1:8" x14ac:dyDescent="0.2">
      <c r="A704" s="1" t="s">
        <v>950</v>
      </c>
    </row>
    <row r="705" spans="1:8" x14ac:dyDescent="0.2">
      <c r="A705" s="1" t="s">
        <v>951</v>
      </c>
    </row>
    <row r="706" spans="1:8" x14ac:dyDescent="0.2">
      <c r="A706" s="1" t="s">
        <v>952</v>
      </c>
    </row>
    <row r="707" spans="1:8" x14ac:dyDescent="0.2">
      <c r="A707" s="1" t="s">
        <v>953</v>
      </c>
      <c r="D707" s="1" t="s">
        <v>954</v>
      </c>
    </row>
    <row r="708" spans="1:8" x14ac:dyDescent="0.2">
      <c r="A708" s="1" t="s">
        <v>955</v>
      </c>
      <c r="D708" s="1" t="s">
        <v>956</v>
      </c>
    </row>
    <row r="709" spans="1:8" x14ac:dyDescent="0.2">
      <c r="A709" s="1" t="s">
        <v>957</v>
      </c>
      <c r="D709" s="1" t="s">
        <v>958</v>
      </c>
    </row>
    <row r="710" spans="1:8" x14ac:dyDescent="0.2">
      <c r="A710" s="1" t="s">
        <v>959</v>
      </c>
      <c r="D710" s="1" t="s">
        <v>960</v>
      </c>
    </row>
    <row r="711" spans="1:8" x14ac:dyDescent="0.2">
      <c r="D711" s="1" t="s">
        <v>961</v>
      </c>
    </row>
    <row r="712" spans="1:8" x14ac:dyDescent="0.2">
      <c r="D712" s="1" t="s">
        <v>962</v>
      </c>
    </row>
    <row r="714" spans="1:8" x14ac:dyDescent="0.2">
      <c r="D714" s="1" t="s">
        <v>963</v>
      </c>
    </row>
    <row r="715" spans="1:8" x14ac:dyDescent="0.2">
      <c r="D715" s="1" t="s">
        <v>964</v>
      </c>
    </row>
    <row r="716" spans="1:8" x14ac:dyDescent="0.2">
      <c r="D716" s="1" t="s">
        <v>965</v>
      </c>
    </row>
    <row r="717" spans="1:8" x14ac:dyDescent="0.2">
      <c r="D717" s="1" t="s">
        <v>966</v>
      </c>
    </row>
    <row r="719" spans="1:8" x14ac:dyDescent="0.2">
      <c r="A719" s="65" t="s">
        <v>848</v>
      </c>
      <c r="B719" s="65"/>
      <c r="C719" s="65"/>
      <c r="D719" s="65"/>
      <c r="E719" s="65"/>
      <c r="F719" s="65"/>
      <c r="G719" s="65"/>
      <c r="H719" s="65"/>
    </row>
    <row r="721" spans="1:8" x14ac:dyDescent="0.2">
      <c r="A721" s="1" t="s">
        <v>2959</v>
      </c>
    </row>
    <row r="722" spans="1:8" x14ac:dyDescent="0.2">
      <c r="B722" s="1" t="s">
        <v>849</v>
      </c>
    </row>
    <row r="723" spans="1:8" x14ac:dyDescent="0.2">
      <c r="B723" s="1" t="s">
        <v>850</v>
      </c>
    </row>
    <row r="725" spans="1:8" x14ac:dyDescent="0.2">
      <c r="A725" s="1" t="s">
        <v>2950</v>
      </c>
      <c r="B725" s="1" t="s">
        <v>2951</v>
      </c>
      <c r="D725" s="1" t="s">
        <v>2952</v>
      </c>
      <c r="H725" s="7" t="s">
        <v>2956</v>
      </c>
    </row>
    <row r="726" spans="1:8" x14ac:dyDescent="0.2">
      <c r="D726" s="1" t="s">
        <v>2953</v>
      </c>
      <c r="H726" s="7" t="s">
        <v>2957</v>
      </c>
    </row>
    <row r="727" spans="1:8" x14ac:dyDescent="0.2">
      <c r="D727" s="1" t="s">
        <v>2954</v>
      </c>
      <c r="H727" s="7" t="s">
        <v>2957</v>
      </c>
    </row>
    <row r="728" spans="1:8" x14ac:dyDescent="0.2">
      <c r="D728" s="1" t="s">
        <v>2955</v>
      </c>
      <c r="H728" s="7" t="s">
        <v>2958</v>
      </c>
    </row>
    <row r="730" spans="1:8" x14ac:dyDescent="0.2">
      <c r="A730" s="1" t="s">
        <v>851</v>
      </c>
    </row>
    <row r="731" spans="1:8" x14ac:dyDescent="0.2">
      <c r="B731" s="1" t="s">
        <v>852</v>
      </c>
    </row>
    <row r="732" spans="1:8" x14ac:dyDescent="0.2">
      <c r="B732" s="1" t="s">
        <v>853</v>
      </c>
    </row>
    <row r="733" spans="1:8" x14ac:dyDescent="0.2">
      <c r="B733" s="3" t="s">
        <v>854</v>
      </c>
      <c r="C733" s="3"/>
      <c r="D733" s="3"/>
      <c r="E733" s="3"/>
      <c r="F733" s="3"/>
    </row>
    <row r="734" spans="1:8" x14ac:dyDescent="0.2">
      <c r="B734" s="1" t="s">
        <v>855</v>
      </c>
    </row>
    <row r="735" spans="1:8" x14ac:dyDescent="0.2">
      <c r="B735" s="1" t="s">
        <v>856</v>
      </c>
    </row>
    <row r="737" spans="1:11" x14ac:dyDescent="0.2">
      <c r="A737" s="1" t="s">
        <v>2950</v>
      </c>
      <c r="B737" s="1" t="s">
        <v>2960</v>
      </c>
    </row>
    <row r="738" spans="1:11" x14ac:dyDescent="0.2">
      <c r="B738" s="1" t="s">
        <v>2961</v>
      </c>
    </row>
    <row r="739" spans="1:11" x14ac:dyDescent="0.2">
      <c r="E739" s="230" t="s">
        <v>2965</v>
      </c>
      <c r="F739" s="1" t="s">
        <v>2966</v>
      </c>
    </row>
    <row r="740" spans="1:11" x14ac:dyDescent="0.2">
      <c r="B740" s="1" t="s">
        <v>2962</v>
      </c>
      <c r="E740" s="14">
        <v>41274</v>
      </c>
      <c r="F740" s="14">
        <v>41639</v>
      </c>
    </row>
    <row r="741" spans="1:11" x14ac:dyDescent="0.2">
      <c r="D741" s="1" t="s">
        <v>2963</v>
      </c>
      <c r="E741" s="17">
        <v>100</v>
      </c>
      <c r="F741" s="17">
        <v>85</v>
      </c>
    </row>
    <row r="742" spans="1:11" x14ac:dyDescent="0.2">
      <c r="D742" s="1" t="s">
        <v>691</v>
      </c>
      <c r="E742" s="17">
        <v>-20</v>
      </c>
      <c r="F742" s="17">
        <v>0</v>
      </c>
    </row>
    <row r="743" spans="1:11" x14ac:dyDescent="0.2">
      <c r="D743" s="1" t="s">
        <v>2964</v>
      </c>
      <c r="E743" s="17">
        <v>-10</v>
      </c>
      <c r="F743" s="17">
        <v>0</v>
      </c>
    </row>
    <row r="744" spans="1:11" x14ac:dyDescent="0.2">
      <c r="D744" s="1" t="s">
        <v>120</v>
      </c>
      <c r="E744" s="142">
        <f>E741+E742+E743</f>
        <v>70</v>
      </c>
      <c r="F744" s="142">
        <v>85</v>
      </c>
    </row>
    <row r="745" spans="1:11" x14ac:dyDescent="0.2">
      <c r="E745" s="17"/>
      <c r="F745" s="17"/>
    </row>
    <row r="746" spans="1:11" x14ac:dyDescent="0.2">
      <c r="A746" s="3" t="s">
        <v>973</v>
      </c>
    </row>
    <row r="747" spans="1:11" x14ac:dyDescent="0.2">
      <c r="A747" s="1" t="s">
        <v>974</v>
      </c>
    </row>
    <row r="748" spans="1:11" x14ac:dyDescent="0.2">
      <c r="A748" s="1" t="s">
        <v>975</v>
      </c>
    </row>
    <row r="749" spans="1:11" x14ac:dyDescent="0.2">
      <c r="A749" s="1" t="s">
        <v>976</v>
      </c>
    </row>
    <row r="750" spans="1:11" x14ac:dyDescent="0.2">
      <c r="A750" s="1" t="s">
        <v>977</v>
      </c>
    </row>
    <row r="751" spans="1:11" x14ac:dyDescent="0.2">
      <c r="A751" s="1" t="s">
        <v>978</v>
      </c>
      <c r="E751" s="106"/>
      <c r="K751" s="106"/>
    </row>
    <row r="752" spans="1:11" x14ac:dyDescent="0.2">
      <c r="A752" s="1" t="s">
        <v>979</v>
      </c>
    </row>
    <row r="753" spans="1:9" x14ac:dyDescent="0.2">
      <c r="A753" s="1" t="s">
        <v>980</v>
      </c>
    </row>
    <row r="755" spans="1:9" x14ac:dyDescent="0.2">
      <c r="A755" s="1" t="s">
        <v>981</v>
      </c>
    </row>
    <row r="756" spans="1:9" x14ac:dyDescent="0.2">
      <c r="A756" s="1" t="s">
        <v>982</v>
      </c>
    </row>
    <row r="757" spans="1:9" x14ac:dyDescent="0.2">
      <c r="A757" s="1" t="s">
        <v>983</v>
      </c>
    </row>
    <row r="765" spans="1:9" x14ac:dyDescent="0.2">
      <c r="C765" s="106" t="s">
        <v>984</v>
      </c>
      <c r="I765" s="106" t="s">
        <v>985</v>
      </c>
    </row>
    <row r="766" spans="1:9" x14ac:dyDescent="0.2">
      <c r="A766" s="107"/>
    </row>
    <row r="767" spans="1:9" x14ac:dyDescent="0.2">
      <c r="A767" s="7"/>
    </row>
    <row r="768" spans="1:9" x14ac:dyDescent="0.2">
      <c r="A768" s="7"/>
    </row>
    <row r="772" spans="1:10" ht="17" thickBot="1" x14ac:dyDescent="0.25"/>
    <row r="773" spans="1:10" x14ac:dyDescent="0.2">
      <c r="G773" s="46" t="s">
        <v>986</v>
      </c>
      <c r="H773" s="32"/>
      <c r="I773" s="46" t="s">
        <v>987</v>
      </c>
      <c r="J773" s="33"/>
    </row>
    <row r="774" spans="1:10" x14ac:dyDescent="0.2">
      <c r="G774" s="34" t="s">
        <v>988</v>
      </c>
      <c r="I774" s="34" t="s">
        <v>989</v>
      </c>
      <c r="J774" s="35"/>
    </row>
    <row r="775" spans="1:10" ht="17" thickBot="1" x14ac:dyDescent="0.25">
      <c r="G775" s="36" t="s">
        <v>1163</v>
      </c>
      <c r="H775" s="37"/>
      <c r="I775" s="34" t="s">
        <v>990</v>
      </c>
      <c r="J775" s="35"/>
    </row>
    <row r="776" spans="1:10" ht="17" thickBot="1" x14ac:dyDescent="0.25">
      <c r="I776" s="36" t="s">
        <v>991</v>
      </c>
      <c r="J776" s="38"/>
    </row>
    <row r="778" spans="1:10" ht="17" thickBot="1" x14ac:dyDescent="0.25"/>
    <row r="779" spans="1:10" x14ac:dyDescent="0.2">
      <c r="A779" s="31" t="s">
        <v>3474</v>
      </c>
      <c r="B779" s="32"/>
      <c r="C779" s="32"/>
      <c r="D779" s="32"/>
      <c r="E779" s="32"/>
      <c r="F779" s="32"/>
      <c r="G779" s="32"/>
      <c r="H779" s="33"/>
    </row>
    <row r="780" spans="1:10" x14ac:dyDescent="0.2">
      <c r="A780" s="34" t="s">
        <v>1166</v>
      </c>
      <c r="H780" s="35"/>
    </row>
    <row r="781" spans="1:10" x14ac:dyDescent="0.2">
      <c r="A781" s="34" t="s">
        <v>1167</v>
      </c>
      <c r="H781" s="35"/>
    </row>
    <row r="782" spans="1:10" x14ac:dyDescent="0.2">
      <c r="A782" s="34" t="s">
        <v>1168</v>
      </c>
      <c r="H782" s="35"/>
    </row>
    <row r="783" spans="1:10" x14ac:dyDescent="0.2">
      <c r="A783" s="34" t="s">
        <v>1169</v>
      </c>
      <c r="H783" s="35"/>
    </row>
    <row r="784" spans="1:10" x14ac:dyDescent="0.2">
      <c r="A784" s="34" t="s">
        <v>1170</v>
      </c>
      <c r="H784" s="35"/>
    </row>
    <row r="785" spans="1:8" x14ac:dyDescent="0.2">
      <c r="A785" s="34" t="s">
        <v>1383</v>
      </c>
      <c r="H785" s="35"/>
    </row>
    <row r="786" spans="1:8" ht="17" thickBot="1" x14ac:dyDescent="0.25">
      <c r="A786" s="36" t="s">
        <v>1384</v>
      </c>
      <c r="B786" s="37"/>
      <c r="C786" s="37"/>
      <c r="D786" s="37"/>
      <c r="E786" s="37"/>
      <c r="F786" s="37"/>
      <c r="G786" s="37"/>
      <c r="H786" s="38"/>
    </row>
    <row r="788" spans="1:8" x14ac:dyDescent="0.2">
      <c r="A788" s="1" t="s">
        <v>857</v>
      </c>
    </row>
    <row r="789" spans="1:8" x14ac:dyDescent="0.2">
      <c r="B789" s="1" t="s">
        <v>858</v>
      </c>
    </row>
    <row r="790" spans="1:8" x14ac:dyDescent="0.2">
      <c r="B790" s="1" t="s">
        <v>859</v>
      </c>
    </row>
    <row r="791" spans="1:8" x14ac:dyDescent="0.2">
      <c r="B791" s="1" t="s">
        <v>860</v>
      </c>
    </row>
    <row r="793" spans="1:8" x14ac:dyDescent="0.2">
      <c r="A793" s="3" t="s">
        <v>992</v>
      </c>
    </row>
    <row r="795" spans="1:8" x14ac:dyDescent="0.2">
      <c r="A795" s="1" t="s">
        <v>861</v>
      </c>
    </row>
    <row r="796" spans="1:8" x14ac:dyDescent="0.2">
      <c r="B796" s="1" t="s">
        <v>862</v>
      </c>
    </row>
    <row r="797" spans="1:8" x14ac:dyDescent="0.2">
      <c r="B797" s="1" t="s">
        <v>2979</v>
      </c>
    </row>
    <row r="798" spans="1:8" x14ac:dyDescent="0.2">
      <c r="B798" s="3" t="s">
        <v>863</v>
      </c>
    </row>
    <row r="800" spans="1:8" x14ac:dyDescent="0.2">
      <c r="A800" s="1" t="s">
        <v>1388</v>
      </c>
    </row>
    <row r="801" spans="1:1" x14ac:dyDescent="0.2">
      <c r="A801" s="1" t="s">
        <v>1389</v>
      </c>
    </row>
    <row r="802" spans="1:1" x14ac:dyDescent="0.2">
      <c r="A802" s="1" t="s">
        <v>1390</v>
      </c>
    </row>
    <row r="803" spans="1:1" x14ac:dyDescent="0.2">
      <c r="A803" s="1" t="s">
        <v>1391</v>
      </c>
    </row>
    <row r="805" spans="1:1" x14ac:dyDescent="0.2">
      <c r="A805" s="1" t="s">
        <v>730</v>
      </c>
    </row>
    <row r="806" spans="1:1" x14ac:dyDescent="0.2">
      <c r="A806" s="1" t="s">
        <v>2968</v>
      </c>
    </row>
    <row r="807" spans="1:1" x14ac:dyDescent="0.2">
      <c r="A807" s="1" t="s">
        <v>2969</v>
      </c>
    </row>
    <row r="808" spans="1:1" x14ac:dyDescent="0.2">
      <c r="A808" s="1" t="s">
        <v>2970</v>
      </c>
    </row>
    <row r="809" spans="1:1" x14ac:dyDescent="0.2">
      <c r="A809" s="1" t="s">
        <v>2971</v>
      </c>
    </row>
    <row r="810" spans="1:1" x14ac:dyDescent="0.2">
      <c r="A810" s="1" t="s">
        <v>2972</v>
      </c>
    </row>
    <row r="812" spans="1:1" x14ac:dyDescent="0.2">
      <c r="A812" s="1" t="s">
        <v>2973</v>
      </c>
    </row>
    <row r="813" spans="1:1" x14ac:dyDescent="0.2">
      <c r="A813" s="1" t="s">
        <v>2974</v>
      </c>
    </row>
    <row r="815" spans="1:1" x14ac:dyDescent="0.2">
      <c r="A815" s="1" t="s">
        <v>2975</v>
      </c>
    </row>
    <row r="816" spans="1:1" x14ac:dyDescent="0.2">
      <c r="A816" s="1" t="s">
        <v>2976</v>
      </c>
    </row>
    <row r="817" spans="1:8" x14ac:dyDescent="0.2">
      <c r="A817" s="1" t="s">
        <v>2977</v>
      </c>
    </row>
    <row r="819" spans="1:8" x14ac:dyDescent="0.2">
      <c r="A819" s="1" t="s">
        <v>2978</v>
      </c>
    </row>
    <row r="820" spans="1:8" x14ac:dyDescent="0.2">
      <c r="A820" s="1" t="s">
        <v>2980</v>
      </c>
    </row>
    <row r="821" spans="1:8" ht="17" thickBot="1" x14ac:dyDescent="0.25"/>
    <row r="822" spans="1:8" x14ac:dyDescent="0.2">
      <c r="A822" s="31" t="s">
        <v>2661</v>
      </c>
      <c r="B822" s="32"/>
      <c r="C822" s="32"/>
      <c r="D822" s="32"/>
      <c r="E822" s="32"/>
      <c r="F822" s="32"/>
      <c r="G822" s="32"/>
      <c r="H822" s="33"/>
    </row>
    <row r="823" spans="1:8" x14ac:dyDescent="0.2">
      <c r="A823" s="34"/>
      <c r="H823" s="35"/>
    </row>
    <row r="824" spans="1:8" x14ac:dyDescent="0.2">
      <c r="A824" s="34" t="s">
        <v>2981</v>
      </c>
      <c r="H824" s="35"/>
    </row>
    <row r="825" spans="1:8" x14ac:dyDescent="0.2">
      <c r="A825" s="34"/>
      <c r="H825" s="35"/>
    </row>
    <row r="826" spans="1:8" x14ac:dyDescent="0.2">
      <c r="A826" s="34" t="s">
        <v>2982</v>
      </c>
      <c r="H826" s="35"/>
    </row>
    <row r="827" spans="1:8" x14ac:dyDescent="0.2">
      <c r="A827" s="34" t="s">
        <v>2983</v>
      </c>
      <c r="H827" s="35"/>
    </row>
    <row r="828" spans="1:8" x14ac:dyDescent="0.2">
      <c r="A828" s="34" t="s">
        <v>2984</v>
      </c>
      <c r="H828" s="35"/>
    </row>
    <row r="829" spans="1:8" x14ac:dyDescent="0.2">
      <c r="A829" s="34"/>
      <c r="H829" s="35"/>
    </row>
    <row r="830" spans="1:8" ht="17" thickBot="1" x14ac:dyDescent="0.25">
      <c r="A830" s="231" t="s">
        <v>2985</v>
      </c>
      <c r="B830" s="37"/>
      <c r="C830" s="37"/>
      <c r="D830" s="37"/>
      <c r="E830" s="37"/>
      <c r="F830" s="37"/>
      <c r="G830" s="37"/>
      <c r="H830" s="38"/>
    </row>
    <row r="834" spans="1:8" ht="17" thickBot="1" x14ac:dyDescent="0.25">
      <c r="A834" s="3" t="s">
        <v>864</v>
      </c>
      <c r="B834" s="3"/>
      <c r="C834" s="3"/>
      <c r="D834" s="3"/>
      <c r="E834" s="3"/>
      <c r="F834" s="3"/>
      <c r="G834" s="3"/>
      <c r="H834" s="3"/>
    </row>
    <row r="835" spans="1:8" x14ac:dyDescent="0.2">
      <c r="A835" s="3"/>
      <c r="B835" s="31" t="s">
        <v>865</v>
      </c>
      <c r="C835" s="76"/>
      <c r="D835" s="76"/>
      <c r="E835" s="76"/>
      <c r="F835" s="76"/>
      <c r="G835" s="76"/>
      <c r="H835" s="77"/>
    </row>
    <row r="836" spans="1:8" x14ac:dyDescent="0.2">
      <c r="A836" s="3"/>
      <c r="B836" s="78" t="s">
        <v>866</v>
      </c>
      <c r="C836" s="3"/>
      <c r="D836" s="3"/>
      <c r="E836" s="3"/>
      <c r="F836" s="3"/>
      <c r="G836" s="3"/>
      <c r="H836" s="79"/>
    </row>
    <row r="837" spans="1:8" x14ac:dyDescent="0.2">
      <c r="A837" s="3"/>
      <c r="B837" s="78" t="s">
        <v>867</v>
      </c>
      <c r="C837" s="3"/>
      <c r="D837" s="3"/>
      <c r="E837" s="3"/>
      <c r="F837" s="3"/>
      <c r="G837" s="3"/>
      <c r="H837" s="79"/>
    </row>
    <row r="838" spans="1:8" ht="17" thickBot="1" x14ac:dyDescent="0.25">
      <c r="A838" s="3"/>
      <c r="B838" s="80" t="s">
        <v>868</v>
      </c>
      <c r="C838" s="81"/>
      <c r="D838" s="81"/>
      <c r="E838" s="81"/>
      <c r="F838" s="81"/>
      <c r="G838" s="81"/>
      <c r="H838" s="82"/>
    </row>
    <row r="839" spans="1:8" x14ac:dyDescent="0.2">
      <c r="A839" s="3"/>
      <c r="B839" s="31" t="s">
        <v>869</v>
      </c>
      <c r="C839" s="76"/>
      <c r="D839" s="76"/>
      <c r="E839" s="76"/>
      <c r="F839" s="76"/>
      <c r="G839" s="76"/>
      <c r="H839" s="77"/>
    </row>
    <row r="840" spans="1:8" x14ac:dyDescent="0.2">
      <c r="A840" s="3"/>
      <c r="B840" s="78" t="s">
        <v>870</v>
      </c>
      <c r="C840" s="3"/>
      <c r="D840" s="3"/>
      <c r="E840" s="3"/>
      <c r="F840" s="3"/>
      <c r="G840" s="3"/>
      <c r="H840" s="79"/>
    </row>
    <row r="841" spans="1:8" x14ac:dyDescent="0.2">
      <c r="A841" s="3"/>
      <c r="B841" s="78" t="s">
        <v>871</v>
      </c>
      <c r="C841" s="3"/>
      <c r="D841" s="3"/>
      <c r="E841" s="3"/>
      <c r="F841" s="3"/>
      <c r="G841" s="3"/>
      <c r="H841" s="79"/>
    </row>
    <row r="842" spans="1:8" ht="17" thickBot="1" x14ac:dyDescent="0.25">
      <c r="A842" s="3"/>
      <c r="B842" s="80" t="s">
        <v>872</v>
      </c>
      <c r="C842" s="81"/>
      <c r="D842" s="81"/>
      <c r="E842" s="81"/>
      <c r="F842" s="81"/>
      <c r="G842" s="81"/>
      <c r="H842" s="82"/>
    </row>
    <row r="852" spans="1:8" x14ac:dyDescent="0.2">
      <c r="A852" s="1" t="s">
        <v>2986</v>
      </c>
    </row>
    <row r="853" spans="1:8" x14ac:dyDescent="0.2">
      <c r="A853" s="1" t="s">
        <v>3475</v>
      </c>
    </row>
    <row r="854" spans="1:8" x14ac:dyDescent="0.2">
      <c r="A854" s="1" t="s">
        <v>2990</v>
      </c>
    </row>
    <row r="855" spans="1:8" x14ac:dyDescent="0.2">
      <c r="A855" s="1" t="s">
        <v>2987</v>
      </c>
    </row>
    <row r="856" spans="1:8" x14ac:dyDescent="0.2">
      <c r="A856" s="1" t="s">
        <v>2988</v>
      </c>
    </row>
    <row r="858" spans="1:8" x14ac:dyDescent="0.2">
      <c r="A858" s="1" t="s">
        <v>2991</v>
      </c>
    </row>
    <row r="859" spans="1:8" x14ac:dyDescent="0.2">
      <c r="A859" s="1" t="s">
        <v>2992</v>
      </c>
    </row>
    <row r="860" spans="1:8" x14ac:dyDescent="0.2">
      <c r="A860" s="1" t="s">
        <v>2993</v>
      </c>
    </row>
    <row r="861" spans="1:8" x14ac:dyDescent="0.2">
      <c r="A861" s="1" t="s">
        <v>2994</v>
      </c>
    </row>
    <row r="862" spans="1:8" ht="17" thickBot="1" x14ac:dyDescent="0.25"/>
    <row r="863" spans="1:8" x14ac:dyDescent="0.2">
      <c r="A863" s="31" t="s">
        <v>2995</v>
      </c>
      <c r="B863" s="32"/>
      <c r="C863" s="32"/>
      <c r="D863" s="32"/>
      <c r="E863" s="32"/>
      <c r="F863" s="32"/>
      <c r="G863" s="32"/>
      <c r="H863" s="33"/>
    </row>
    <row r="864" spans="1:8" x14ac:dyDescent="0.2">
      <c r="A864" s="78" t="s">
        <v>2996</v>
      </c>
      <c r="H864" s="35"/>
    </row>
    <row r="865" spans="1:8" ht="17" thickBot="1" x14ac:dyDescent="0.25">
      <c r="A865" s="80" t="s">
        <v>2997</v>
      </c>
      <c r="B865" s="37"/>
      <c r="C865" s="37"/>
      <c r="D865" s="37"/>
      <c r="E865" s="37"/>
      <c r="F865" s="37"/>
      <c r="G865" s="37"/>
      <c r="H865" s="38"/>
    </row>
    <row r="867" spans="1:8" x14ac:dyDescent="0.2">
      <c r="A867" s="232" t="s">
        <v>2998</v>
      </c>
    </row>
    <row r="874" spans="1:8" x14ac:dyDescent="0.2">
      <c r="C874" s="1" t="s">
        <v>2079</v>
      </c>
      <c r="E874" s="1" t="s">
        <v>2346</v>
      </c>
    </row>
    <row r="878" spans="1:8" x14ac:dyDescent="0.2">
      <c r="B878"/>
      <c r="D878" s="1" t="s">
        <v>3000</v>
      </c>
    </row>
    <row r="879" spans="1:8" x14ac:dyDescent="0.2">
      <c r="D879" s="1" t="s">
        <v>3001</v>
      </c>
    </row>
    <row r="882" spans="1:7" x14ac:dyDescent="0.2">
      <c r="B882" s="3" t="s">
        <v>2999</v>
      </c>
    </row>
    <row r="883" spans="1:7" x14ac:dyDescent="0.2">
      <c r="B883" s="1" t="s">
        <v>3005</v>
      </c>
      <c r="F883" s="1" t="s">
        <v>3002</v>
      </c>
    </row>
    <row r="884" spans="1:7" x14ac:dyDescent="0.2">
      <c r="B884" s="3" t="s">
        <v>3006</v>
      </c>
      <c r="F884" s="1" t="s">
        <v>3003</v>
      </c>
    </row>
    <row r="885" spans="1:7" x14ac:dyDescent="0.2">
      <c r="B885" s="1" t="s">
        <v>3007</v>
      </c>
    </row>
    <row r="886" spans="1:7" x14ac:dyDescent="0.2">
      <c r="B886" s="1" t="s">
        <v>3008</v>
      </c>
    </row>
    <row r="887" spans="1:7" x14ac:dyDescent="0.2">
      <c r="B887" s="1" t="s">
        <v>3009</v>
      </c>
      <c r="E887"/>
    </row>
    <row r="888" spans="1:7" x14ac:dyDescent="0.2">
      <c r="B888" s="1" t="s">
        <v>3014</v>
      </c>
    </row>
    <row r="889" spans="1:7" x14ac:dyDescent="0.2">
      <c r="B889" s="1" t="s">
        <v>3015</v>
      </c>
    </row>
    <row r="890" spans="1:7" x14ac:dyDescent="0.2">
      <c r="B890" s="1" t="s">
        <v>3016</v>
      </c>
      <c r="F890" s="3" t="s">
        <v>3004</v>
      </c>
    </row>
    <row r="891" spans="1:7" x14ac:dyDescent="0.2">
      <c r="F891" s="3" t="s">
        <v>3010</v>
      </c>
    </row>
    <row r="892" spans="1:7" x14ac:dyDescent="0.2">
      <c r="F892" s="3" t="s">
        <v>3011</v>
      </c>
    </row>
    <row r="893" spans="1:7" x14ac:dyDescent="0.2">
      <c r="F893" s="3"/>
      <c r="G893" s="1" t="s">
        <v>3012</v>
      </c>
    </row>
    <row r="894" spans="1:7" x14ac:dyDescent="0.2">
      <c r="F894" s="3"/>
      <c r="G894" s="1" t="s">
        <v>3013</v>
      </c>
    </row>
    <row r="895" spans="1:7" x14ac:dyDescent="0.2">
      <c r="F895" s="3"/>
    </row>
    <row r="896" spans="1:7" x14ac:dyDescent="0.2">
      <c r="A896" s="1" t="s">
        <v>3476</v>
      </c>
      <c r="F896" s="3"/>
    </row>
    <row r="897" spans="1:9" x14ac:dyDescent="0.2">
      <c r="F897" s="3"/>
    </row>
    <row r="898" spans="1:9" x14ac:dyDescent="0.2">
      <c r="A898" s="1" t="s">
        <v>3477</v>
      </c>
      <c r="G898" s="313" t="s">
        <v>3478</v>
      </c>
      <c r="H898" s="313" t="s">
        <v>2999</v>
      </c>
      <c r="I898" s="313" t="s">
        <v>801</v>
      </c>
    </row>
    <row r="899" spans="1:9" x14ac:dyDescent="0.2">
      <c r="A899" s="1" t="s">
        <v>3479</v>
      </c>
      <c r="F899" s="3"/>
      <c r="G899" s="7" t="s">
        <v>3486</v>
      </c>
      <c r="H899" s="7"/>
      <c r="I899" s="1" t="s">
        <v>3487</v>
      </c>
    </row>
    <row r="900" spans="1:9" x14ac:dyDescent="0.2">
      <c r="A900" s="1" t="s">
        <v>3485</v>
      </c>
      <c r="F900" s="3"/>
      <c r="G900" s="7"/>
      <c r="H900" s="7" t="s">
        <v>3486</v>
      </c>
      <c r="I900" s="1" t="s">
        <v>3488</v>
      </c>
    </row>
    <row r="901" spans="1:9" x14ac:dyDescent="0.2">
      <c r="A901" s="1" t="s">
        <v>3480</v>
      </c>
      <c r="F901" s="3"/>
      <c r="G901" s="7"/>
      <c r="H901" s="7" t="s">
        <v>3486</v>
      </c>
      <c r="I901" s="1" t="s">
        <v>3489</v>
      </c>
    </row>
    <row r="902" spans="1:9" x14ac:dyDescent="0.2">
      <c r="A902" s="1" t="s">
        <v>3481</v>
      </c>
      <c r="F902" s="3"/>
      <c r="G902" s="7"/>
      <c r="H902" s="7" t="s">
        <v>3486</v>
      </c>
      <c r="I902" s="1" t="s">
        <v>3490</v>
      </c>
    </row>
    <row r="903" spans="1:9" x14ac:dyDescent="0.2">
      <c r="A903" s="1" t="s">
        <v>3482</v>
      </c>
      <c r="F903" s="3"/>
      <c r="G903" s="7"/>
      <c r="H903" s="7" t="s">
        <v>3486</v>
      </c>
      <c r="I903" s="1" t="s">
        <v>3491</v>
      </c>
    </row>
    <row r="904" spans="1:9" x14ac:dyDescent="0.2">
      <c r="A904" s="1" t="s">
        <v>3483</v>
      </c>
      <c r="F904" s="3"/>
      <c r="G904" s="7"/>
      <c r="H904" s="7" t="s">
        <v>3486</v>
      </c>
      <c r="I904" s="1" t="s">
        <v>3490</v>
      </c>
    </row>
    <row r="905" spans="1:9" x14ac:dyDescent="0.2">
      <c r="A905" s="1" t="s">
        <v>3484</v>
      </c>
      <c r="F905" s="3"/>
      <c r="G905" s="7"/>
      <c r="H905" s="7" t="s">
        <v>3486</v>
      </c>
      <c r="I905" s="1" t="s">
        <v>3492</v>
      </c>
    </row>
    <row r="906" spans="1:9" x14ac:dyDescent="0.2">
      <c r="F906" s="3"/>
    </row>
    <row r="907" spans="1:9" x14ac:dyDescent="0.2">
      <c r="F907" s="3"/>
    </row>
    <row r="908" spans="1:9" x14ac:dyDescent="0.2">
      <c r="F908" s="3"/>
    </row>
    <row r="909" spans="1:9" ht="17" thickBot="1" x14ac:dyDescent="0.25">
      <c r="A909" s="1" t="s">
        <v>873</v>
      </c>
    </row>
    <row r="910" spans="1:9" x14ac:dyDescent="0.2">
      <c r="B910" s="46" t="s">
        <v>874</v>
      </c>
      <c r="C910" s="32"/>
      <c r="D910" s="32"/>
      <c r="E910" s="32"/>
      <c r="F910" s="32"/>
      <c r="G910" s="32"/>
      <c r="H910" s="33"/>
    </row>
    <row r="911" spans="1:9" x14ac:dyDescent="0.2">
      <c r="B911" s="34" t="s">
        <v>875</v>
      </c>
      <c r="H911" s="35"/>
    </row>
    <row r="912" spans="1:9" x14ac:dyDescent="0.2">
      <c r="B912" s="34" t="s">
        <v>876</v>
      </c>
      <c r="H912" s="35"/>
    </row>
    <row r="913" spans="1:8" x14ac:dyDescent="0.2">
      <c r="B913" s="34" t="s">
        <v>877</v>
      </c>
      <c r="H913" s="35"/>
    </row>
    <row r="914" spans="1:8" x14ac:dyDescent="0.2">
      <c r="B914" s="34" t="s">
        <v>878</v>
      </c>
      <c r="H914" s="35"/>
    </row>
    <row r="915" spans="1:8" ht="17" thickBot="1" x14ac:dyDescent="0.25">
      <c r="B915" s="36" t="s">
        <v>879</v>
      </c>
      <c r="C915" s="37"/>
      <c r="D915" s="37"/>
      <c r="E915" s="37"/>
      <c r="F915" s="37"/>
      <c r="G915" s="37"/>
      <c r="H915" s="38"/>
    </row>
    <row r="917" spans="1:8" x14ac:dyDescent="0.2">
      <c r="A917" s="3" t="s">
        <v>1392</v>
      </c>
    </row>
    <row r="919" spans="1:8" ht="17" thickBot="1" x14ac:dyDescent="0.25">
      <c r="A919" s="1" t="s">
        <v>880</v>
      </c>
    </row>
    <row r="920" spans="1:8" x14ac:dyDescent="0.2">
      <c r="B920" s="46" t="s">
        <v>881</v>
      </c>
      <c r="C920" s="32"/>
      <c r="D920" s="32"/>
      <c r="E920" s="32"/>
      <c r="F920" s="32"/>
      <c r="G920" s="32"/>
      <c r="H920" s="33"/>
    </row>
    <row r="921" spans="1:8" x14ac:dyDescent="0.2">
      <c r="B921" s="34" t="s">
        <v>882</v>
      </c>
      <c r="H921" s="35"/>
    </row>
    <row r="922" spans="1:8" x14ac:dyDescent="0.2">
      <c r="B922" s="34" t="s">
        <v>883</v>
      </c>
      <c r="H922" s="35"/>
    </row>
    <row r="923" spans="1:8" x14ac:dyDescent="0.2">
      <c r="B923" s="34" t="s">
        <v>850</v>
      </c>
      <c r="H923" s="35"/>
    </row>
    <row r="924" spans="1:8" x14ac:dyDescent="0.2">
      <c r="B924" s="34" t="s">
        <v>884</v>
      </c>
      <c r="H924" s="35"/>
    </row>
    <row r="925" spans="1:8" x14ac:dyDescent="0.2">
      <c r="B925" s="34" t="s">
        <v>885</v>
      </c>
      <c r="H925" s="35"/>
    </row>
    <row r="926" spans="1:8" x14ac:dyDescent="0.2">
      <c r="B926" s="34" t="s">
        <v>886</v>
      </c>
      <c r="H926" s="35"/>
    </row>
    <row r="927" spans="1:8" x14ac:dyDescent="0.2">
      <c r="B927" s="34" t="s">
        <v>887</v>
      </c>
      <c r="H927" s="35"/>
    </row>
    <row r="928" spans="1:8" x14ac:dyDescent="0.2">
      <c r="B928" s="34" t="s">
        <v>888</v>
      </c>
      <c r="H928" s="35"/>
    </row>
    <row r="929" spans="1:8" x14ac:dyDescent="0.2">
      <c r="B929" s="34" t="s">
        <v>889</v>
      </c>
      <c r="H929" s="35"/>
    </row>
    <row r="930" spans="1:8" x14ac:dyDescent="0.2">
      <c r="B930" s="34" t="s">
        <v>890</v>
      </c>
      <c r="H930" s="35"/>
    </row>
    <row r="931" spans="1:8" ht="17" thickBot="1" x14ac:dyDescent="0.25">
      <c r="B931" s="36" t="s">
        <v>891</v>
      </c>
      <c r="C931" s="37"/>
      <c r="D931" s="37"/>
      <c r="E931" s="37"/>
      <c r="F931" s="37"/>
      <c r="G931" s="37"/>
      <c r="H931" s="38"/>
    </row>
    <row r="933" spans="1:8" x14ac:dyDescent="0.2">
      <c r="A933" s="3" t="s">
        <v>3017</v>
      </c>
    </row>
    <row r="934" spans="1:8" x14ac:dyDescent="0.2">
      <c r="A934" s="3" t="s">
        <v>1393</v>
      </c>
    </row>
    <row r="936" spans="1:8" ht="17" thickBot="1" x14ac:dyDescent="0.25">
      <c r="A936" s="1" t="s">
        <v>892</v>
      </c>
    </row>
    <row r="937" spans="1:8" x14ac:dyDescent="0.2">
      <c r="B937" s="46" t="s">
        <v>893</v>
      </c>
      <c r="C937" s="32"/>
      <c r="D937" s="32"/>
      <c r="E937" s="32"/>
      <c r="F937" s="32"/>
      <c r="G937" s="32"/>
      <c r="H937" s="33"/>
    </row>
    <row r="938" spans="1:8" ht="17" thickBot="1" x14ac:dyDescent="0.25">
      <c r="B938" s="36" t="s">
        <v>894</v>
      </c>
      <c r="C938" s="37"/>
      <c r="D938" s="37"/>
      <c r="E938" s="37"/>
      <c r="F938" s="37"/>
      <c r="G938" s="37"/>
      <c r="H938" s="38"/>
    </row>
    <row r="940" spans="1:8" x14ac:dyDescent="0.2">
      <c r="A940" s="30" t="s">
        <v>993</v>
      </c>
      <c r="B940" s="65"/>
      <c r="C940" s="65"/>
      <c r="D940" s="65"/>
      <c r="E940" s="65"/>
      <c r="F940" s="65"/>
      <c r="G940" s="65"/>
      <c r="H940" s="65"/>
    </row>
    <row r="942" spans="1:8" x14ac:dyDescent="0.2">
      <c r="A942" s="1" t="s">
        <v>994</v>
      </c>
    </row>
    <row r="943" spans="1:8" x14ac:dyDescent="0.2">
      <c r="B943" s="1" t="s">
        <v>995</v>
      </c>
    </row>
    <row r="944" spans="1:8" x14ac:dyDescent="0.2">
      <c r="B944" s="1" t="s">
        <v>1394</v>
      </c>
    </row>
    <row r="945" spans="1:8" x14ac:dyDescent="0.2">
      <c r="B945" s="1" t="s">
        <v>996</v>
      </c>
    </row>
    <row r="946" spans="1:8" x14ac:dyDescent="0.2">
      <c r="B946" s="1" t="s">
        <v>997</v>
      </c>
    </row>
    <row r="947" spans="1:8" x14ac:dyDescent="0.2">
      <c r="B947" s="1" t="s">
        <v>998</v>
      </c>
    </row>
    <row r="948" spans="1:8" x14ac:dyDescent="0.2">
      <c r="B948" s="1" t="s">
        <v>999</v>
      </c>
    </row>
    <row r="950" spans="1:8" x14ac:dyDescent="0.2">
      <c r="A950" s="83" t="s">
        <v>3022</v>
      </c>
      <c r="B950" s="84"/>
      <c r="C950" s="84"/>
      <c r="D950" s="84"/>
      <c r="E950" s="84"/>
      <c r="F950" s="84"/>
      <c r="G950" s="84"/>
      <c r="H950" s="84"/>
    </row>
    <row r="951" spans="1:8" x14ac:dyDescent="0.2">
      <c r="B951" s="1" t="s">
        <v>1000</v>
      </c>
    </row>
    <row r="952" spans="1:8" x14ac:dyDescent="0.2">
      <c r="B952" s="1" t="s">
        <v>1001</v>
      </c>
    </row>
    <row r="953" spans="1:8" x14ac:dyDescent="0.2">
      <c r="B953" s="1" t="s">
        <v>1002</v>
      </c>
    </row>
    <row r="954" spans="1:8" x14ac:dyDescent="0.2">
      <c r="B954" s="1" t="s">
        <v>1003</v>
      </c>
    </row>
    <row r="955" spans="1:8" x14ac:dyDescent="0.2">
      <c r="B955" s="1" t="s">
        <v>1004</v>
      </c>
    </row>
    <row r="956" spans="1:8" x14ac:dyDescent="0.2">
      <c r="B956" s="1" t="s">
        <v>1005</v>
      </c>
    </row>
    <row r="958" spans="1:8" x14ac:dyDescent="0.2">
      <c r="A958" s="83" t="s">
        <v>3023</v>
      </c>
      <c r="B958" s="84"/>
      <c r="C958" s="84"/>
      <c r="D958" s="84"/>
      <c r="E958" s="84"/>
      <c r="F958" s="84"/>
      <c r="G958" s="84"/>
      <c r="H958" s="84"/>
    </row>
    <row r="960" spans="1:8" x14ac:dyDescent="0.2">
      <c r="A960" s="1" t="s">
        <v>3018</v>
      </c>
    </row>
    <row r="961" spans="1:9" x14ac:dyDescent="0.2">
      <c r="A961" s="1" t="s">
        <v>3019</v>
      </c>
    </row>
    <row r="962" spans="1:9" x14ac:dyDescent="0.2">
      <c r="A962" s="1" t="s">
        <v>3020</v>
      </c>
    </row>
    <row r="963" spans="1:9" x14ac:dyDescent="0.2">
      <c r="A963" s="1" t="s">
        <v>3021</v>
      </c>
    </row>
    <row r="965" spans="1:9" x14ac:dyDescent="0.2">
      <c r="A965" s="1" t="s">
        <v>1400</v>
      </c>
    </row>
    <row r="967" spans="1:9" x14ac:dyDescent="0.2">
      <c r="C967" s="108">
        <v>44196</v>
      </c>
      <c r="E967" s="1" t="s">
        <v>1397</v>
      </c>
      <c r="H967" s="1">
        <v>20</v>
      </c>
    </row>
    <row r="968" spans="1:9" x14ac:dyDescent="0.2">
      <c r="B968" s="1" t="s">
        <v>1396</v>
      </c>
      <c r="C968" s="42">
        <v>400000</v>
      </c>
      <c r="E968" s="1" t="s">
        <v>1399</v>
      </c>
      <c r="H968" s="1">
        <v>4</v>
      </c>
    </row>
    <row r="969" spans="1:9" x14ac:dyDescent="0.2">
      <c r="B969" s="62" t="s">
        <v>691</v>
      </c>
      <c r="C969" s="127">
        <v>-150000</v>
      </c>
      <c r="D969" s="62"/>
      <c r="E969" s="1" t="s">
        <v>1006</v>
      </c>
      <c r="H969" s="1">
        <f>H967*H968</f>
        <v>80</v>
      </c>
      <c r="I969" s="1" t="s">
        <v>1398</v>
      </c>
    </row>
    <row r="970" spans="1:9" x14ac:dyDescent="0.2">
      <c r="B970" s="62" t="s">
        <v>120</v>
      </c>
      <c r="C970" s="124">
        <f>C968+C969</f>
        <v>250000</v>
      </c>
    </row>
    <row r="971" spans="1:9" x14ac:dyDescent="0.2">
      <c r="E971" s="1" t="s">
        <v>1395</v>
      </c>
      <c r="H971" s="66">
        <v>30</v>
      </c>
    </row>
    <row r="974" spans="1:9" x14ac:dyDescent="0.2">
      <c r="A974" s="1" t="s">
        <v>1007</v>
      </c>
    </row>
    <row r="977" spans="1:8" x14ac:dyDescent="0.2">
      <c r="A977" s="3" t="s">
        <v>1008</v>
      </c>
    </row>
    <row r="978" spans="1:8" x14ac:dyDescent="0.2">
      <c r="A978" s="3" t="s">
        <v>1009</v>
      </c>
    </row>
    <row r="982" spans="1:8" x14ac:dyDescent="0.2">
      <c r="A982" s="30" t="s">
        <v>1010</v>
      </c>
      <c r="B982" s="65"/>
      <c r="C982" s="65"/>
      <c r="D982" s="65"/>
      <c r="E982" s="65"/>
      <c r="F982" s="65"/>
      <c r="G982" s="65"/>
      <c r="H982" s="65"/>
    </row>
    <row r="983" spans="1:8" ht="17" thickBot="1" x14ac:dyDescent="0.25"/>
    <row r="984" spans="1:8" x14ac:dyDescent="0.2">
      <c r="A984" s="46" t="s">
        <v>1011</v>
      </c>
      <c r="B984" s="32"/>
      <c r="C984" s="32"/>
      <c r="D984" s="32"/>
      <c r="E984" s="32"/>
      <c r="F984" s="32"/>
      <c r="G984" s="32"/>
      <c r="H984" s="33"/>
    </row>
    <row r="985" spans="1:8" x14ac:dyDescent="0.2">
      <c r="A985" s="34"/>
      <c r="B985" s="1" t="s">
        <v>1012</v>
      </c>
      <c r="H985" s="35"/>
    </row>
    <row r="986" spans="1:8" ht="17" thickBot="1" x14ac:dyDescent="0.25">
      <c r="A986" s="36"/>
      <c r="B986" s="37" t="s">
        <v>1013</v>
      </c>
      <c r="C986" s="37"/>
      <c r="D986" s="37"/>
      <c r="E986" s="37"/>
      <c r="F986" s="37"/>
      <c r="G986" s="37"/>
      <c r="H986" s="38"/>
    </row>
    <row r="988" spans="1:8" x14ac:dyDescent="0.2">
      <c r="A988" s="68" t="s">
        <v>1014</v>
      </c>
      <c r="B988" s="68"/>
      <c r="C988" s="68"/>
      <c r="D988" s="68"/>
      <c r="E988" s="68"/>
      <c r="F988" s="68"/>
      <c r="G988" s="68"/>
    </row>
    <row r="989" spans="1:8" x14ac:dyDescent="0.2">
      <c r="A989" s="68" t="s">
        <v>1015</v>
      </c>
      <c r="B989" s="68"/>
      <c r="C989" s="68"/>
      <c r="D989" s="68"/>
      <c r="E989" s="68"/>
      <c r="F989" s="68"/>
      <c r="G989" s="68"/>
    </row>
    <row r="990" spans="1:8" x14ac:dyDescent="0.2">
      <c r="A990" s="68" t="s">
        <v>1016</v>
      </c>
      <c r="B990" s="68"/>
      <c r="C990" s="68"/>
      <c r="D990" s="68"/>
      <c r="E990" s="68"/>
      <c r="F990" s="68"/>
      <c r="G990" s="68"/>
    </row>
    <row r="992" spans="1:8" x14ac:dyDescent="0.2">
      <c r="A992" s="1" t="s">
        <v>1017</v>
      </c>
    </row>
    <row r="993" spans="1:2" x14ac:dyDescent="0.2">
      <c r="B993" s="1" t="s">
        <v>1018</v>
      </c>
    </row>
    <row r="994" spans="1:2" x14ac:dyDescent="0.2">
      <c r="B994" s="1" t="s">
        <v>1019</v>
      </c>
    </row>
    <row r="995" spans="1:2" x14ac:dyDescent="0.2">
      <c r="B995" s="1" t="s">
        <v>1020</v>
      </c>
    </row>
    <row r="996" spans="1:2" x14ac:dyDescent="0.2">
      <c r="B996" s="1" t="s">
        <v>1021</v>
      </c>
    </row>
    <row r="997" spans="1:2" x14ac:dyDescent="0.2">
      <c r="B997" s="1" t="s">
        <v>1022</v>
      </c>
    </row>
    <row r="998" spans="1:2" x14ac:dyDescent="0.2">
      <c r="B998" s="1" t="s">
        <v>1023</v>
      </c>
    </row>
    <row r="999" spans="1:2" x14ac:dyDescent="0.2">
      <c r="B999" s="1" t="s">
        <v>1024</v>
      </c>
    </row>
    <row r="1000" spans="1:2" x14ac:dyDescent="0.2">
      <c r="B1000" s="1" t="s">
        <v>1025</v>
      </c>
    </row>
    <row r="1001" spans="1:2" x14ac:dyDescent="0.2">
      <c r="B1001" s="1" t="s">
        <v>1026</v>
      </c>
    </row>
    <row r="1002" spans="1:2" x14ac:dyDescent="0.2">
      <c r="B1002" s="1" t="s">
        <v>1027</v>
      </c>
    </row>
    <row r="1003" spans="1:2" x14ac:dyDescent="0.2">
      <c r="B1003" s="1" t="s">
        <v>1028</v>
      </c>
    </row>
    <row r="1005" spans="1:2" x14ac:dyDescent="0.2">
      <c r="A1005" s="1" t="s">
        <v>1029</v>
      </c>
    </row>
    <row r="1006" spans="1:2" x14ac:dyDescent="0.2">
      <c r="B1006" s="1" t="s">
        <v>1030</v>
      </c>
    </row>
    <row r="1007" spans="1:2" x14ac:dyDescent="0.2">
      <c r="B1007" s="1" t="s">
        <v>1031</v>
      </c>
    </row>
    <row r="1008" spans="1:2" x14ac:dyDescent="0.2">
      <c r="B1008" s="1" t="s">
        <v>1032</v>
      </c>
    </row>
    <row r="1009" spans="1:2" x14ac:dyDescent="0.2">
      <c r="B1009" s="1" t="s">
        <v>1033</v>
      </c>
    </row>
    <row r="1010" spans="1:2" x14ac:dyDescent="0.2">
      <c r="B1010" s="1" t="s">
        <v>1034</v>
      </c>
    </row>
    <row r="1011" spans="1:2" x14ac:dyDescent="0.2">
      <c r="B1011" s="1" t="s">
        <v>1035</v>
      </c>
    </row>
    <row r="1013" spans="1:2" x14ac:dyDescent="0.2">
      <c r="A1013" s="3" t="s">
        <v>1036</v>
      </c>
    </row>
    <row r="1016" spans="1:2" x14ac:dyDescent="0.2">
      <c r="A1016" s="1" t="s">
        <v>1037</v>
      </c>
    </row>
    <row r="1017" spans="1:2" x14ac:dyDescent="0.2">
      <c r="B1017" s="1" t="s">
        <v>1038</v>
      </c>
    </row>
    <row r="1018" spans="1:2" x14ac:dyDescent="0.2">
      <c r="B1018" s="1" t="s">
        <v>1039</v>
      </c>
    </row>
    <row r="1019" spans="1:2" x14ac:dyDescent="0.2">
      <c r="B1019" s="1" t="s">
        <v>1040</v>
      </c>
    </row>
    <row r="1020" spans="1:2" x14ac:dyDescent="0.2">
      <c r="B1020" s="1" t="s">
        <v>1041</v>
      </c>
    </row>
    <row r="1021" spans="1:2" x14ac:dyDescent="0.2">
      <c r="B1021" s="1" t="s">
        <v>1042</v>
      </c>
    </row>
    <row r="1023" spans="1:2" x14ac:dyDescent="0.2">
      <c r="A1023" s="1" t="s">
        <v>1043</v>
      </c>
    </row>
    <row r="1024" spans="1:2" x14ac:dyDescent="0.2">
      <c r="B1024" s="1" t="s">
        <v>1044</v>
      </c>
    </row>
    <row r="1025" spans="1:9" x14ac:dyDescent="0.2">
      <c r="B1025" s="1" t="s">
        <v>1045</v>
      </c>
    </row>
    <row r="1026" spans="1:9" x14ac:dyDescent="0.2">
      <c r="B1026" s="1" t="s">
        <v>1046</v>
      </c>
    </row>
    <row r="1028" spans="1:9" x14ac:dyDescent="0.2">
      <c r="A1028" s="1" t="s">
        <v>1047</v>
      </c>
    </row>
    <row r="1029" spans="1:9" x14ac:dyDescent="0.2">
      <c r="B1029" s="1" t="s">
        <v>1048</v>
      </c>
    </row>
    <row r="1030" spans="1:9" x14ac:dyDescent="0.2">
      <c r="B1030" s="1" t="s">
        <v>1049</v>
      </c>
    </row>
    <row r="1031" spans="1:9" x14ac:dyDescent="0.2">
      <c r="B1031" s="1" t="s">
        <v>1050</v>
      </c>
    </row>
    <row r="1032" spans="1:9" x14ac:dyDescent="0.2">
      <c r="B1032" s="1" t="s">
        <v>1051</v>
      </c>
    </row>
    <row r="1033" spans="1:9" x14ac:dyDescent="0.2">
      <c r="B1033" s="1" t="s">
        <v>1052</v>
      </c>
    </row>
    <row r="1034" spans="1:9" x14ac:dyDescent="0.2">
      <c r="B1034" s="1" t="s">
        <v>1053</v>
      </c>
    </row>
    <row r="1036" spans="1:9" x14ac:dyDescent="0.2">
      <c r="A1036" s="3" t="s">
        <v>1401</v>
      </c>
    </row>
    <row r="1037" spans="1:9" x14ac:dyDescent="0.2">
      <c r="A1037" s="3" t="s">
        <v>1402</v>
      </c>
    </row>
    <row r="1038" spans="1:9" x14ac:dyDescent="0.2">
      <c r="A1038" s="3" t="s">
        <v>1403</v>
      </c>
    </row>
    <row r="1039" spans="1:9" x14ac:dyDescent="0.2">
      <c r="A1039" s="3"/>
      <c r="I1039" s="107" t="s">
        <v>1407</v>
      </c>
    </row>
    <row r="1040" spans="1:9" x14ac:dyDescent="0.2">
      <c r="A1040" s="83" t="s">
        <v>1054</v>
      </c>
      <c r="B1040" s="84"/>
      <c r="C1040" s="84"/>
      <c r="D1040" s="84"/>
      <c r="E1040" s="84"/>
      <c r="F1040" s="84"/>
      <c r="G1040" s="84"/>
      <c r="H1040" s="84"/>
      <c r="I1040" s="107"/>
    </row>
    <row r="1041" spans="1:9" x14ac:dyDescent="0.2">
      <c r="B1041" s="1" t="s">
        <v>3493</v>
      </c>
      <c r="I1041" s="107"/>
    </row>
    <row r="1042" spans="1:9" x14ac:dyDescent="0.2">
      <c r="B1042" s="1" t="s">
        <v>1056</v>
      </c>
      <c r="I1042" s="107"/>
    </row>
    <row r="1043" spans="1:9" x14ac:dyDescent="0.2">
      <c r="B1043" s="1" t="s">
        <v>1057</v>
      </c>
      <c r="I1043" s="107"/>
    </row>
    <row r="1044" spans="1:9" x14ac:dyDescent="0.2">
      <c r="B1044" s="1" t="s">
        <v>1058</v>
      </c>
      <c r="I1044" s="107"/>
    </row>
    <row r="1045" spans="1:9" x14ac:dyDescent="0.2">
      <c r="B1045" s="1" t="s">
        <v>1059</v>
      </c>
      <c r="I1045" s="107"/>
    </row>
    <row r="1046" spans="1:9" x14ac:dyDescent="0.2">
      <c r="B1046" s="1" t="s">
        <v>1060</v>
      </c>
      <c r="I1046" s="107" t="s">
        <v>1404</v>
      </c>
    </row>
    <row r="1047" spans="1:9" x14ac:dyDescent="0.2">
      <c r="I1047" s="107" t="s">
        <v>1405</v>
      </c>
    </row>
    <row r="1048" spans="1:9" x14ac:dyDescent="0.2">
      <c r="B1048" s="21" t="s">
        <v>1408</v>
      </c>
      <c r="I1048" s="107" t="s">
        <v>1406</v>
      </c>
    </row>
    <row r="1050" spans="1:9" x14ac:dyDescent="0.2">
      <c r="A1050" s="83" t="s">
        <v>1061</v>
      </c>
      <c r="B1050" s="84"/>
      <c r="C1050" s="84"/>
      <c r="D1050" s="84"/>
      <c r="E1050" s="84"/>
      <c r="F1050" s="84"/>
      <c r="G1050" s="84"/>
      <c r="H1050" s="84"/>
    </row>
    <row r="1051" spans="1:9" x14ac:dyDescent="0.2">
      <c r="B1051" s="1" t="s">
        <v>1062</v>
      </c>
    </row>
    <row r="1052" spans="1:9" x14ac:dyDescent="0.2">
      <c r="B1052" s="1" t="s">
        <v>1063</v>
      </c>
    </row>
    <row r="1053" spans="1:9" x14ac:dyDescent="0.2">
      <c r="B1053" s="1" t="s">
        <v>1064</v>
      </c>
    </row>
    <row r="1054" spans="1:9" x14ac:dyDescent="0.2">
      <c r="B1054" s="1" t="s">
        <v>1409</v>
      </c>
    </row>
    <row r="1056" spans="1:9" ht="26" x14ac:dyDescent="0.3">
      <c r="F1056" s="314" t="s">
        <v>3494</v>
      </c>
    </row>
    <row r="1057" spans="1:8" x14ac:dyDescent="0.2">
      <c r="A1057" s="30" t="s">
        <v>1065</v>
      </c>
      <c r="B1057" s="65"/>
      <c r="C1057" s="65"/>
      <c r="D1057" s="65"/>
      <c r="E1057" s="65"/>
      <c r="F1057" s="65"/>
      <c r="G1057" s="65"/>
      <c r="H1057" s="65"/>
    </row>
    <row r="1058" spans="1:8" x14ac:dyDescent="0.2">
      <c r="A1058" s="1" t="s">
        <v>1066</v>
      </c>
    </row>
    <row r="1059" spans="1:8" x14ac:dyDescent="0.2">
      <c r="B1059" s="1" t="s">
        <v>1067</v>
      </c>
    </row>
    <row r="1060" spans="1:8" x14ac:dyDescent="0.2">
      <c r="B1060" s="1" t="s">
        <v>1068</v>
      </c>
    </row>
    <row r="1061" spans="1:8" x14ac:dyDescent="0.2">
      <c r="B1061" s="1" t="s">
        <v>1069</v>
      </c>
    </row>
    <row r="1062" spans="1:8" x14ac:dyDescent="0.2">
      <c r="B1062" s="1" t="s">
        <v>1070</v>
      </c>
    </row>
    <row r="1064" spans="1:8" x14ac:dyDescent="0.2">
      <c r="A1064" s="1" t="s">
        <v>1071</v>
      </c>
    </row>
    <row r="1065" spans="1:8" x14ac:dyDescent="0.2">
      <c r="B1065" s="1" t="s">
        <v>1072</v>
      </c>
    </row>
    <row r="1066" spans="1:8" x14ac:dyDescent="0.2">
      <c r="B1066" s="1" t="s">
        <v>1073</v>
      </c>
    </row>
    <row r="1067" spans="1:8" x14ac:dyDescent="0.2">
      <c r="B1067" s="1" t="s">
        <v>1074</v>
      </c>
    </row>
    <row r="1068" spans="1:8" x14ac:dyDescent="0.2">
      <c r="B1068" s="1" t="s">
        <v>3024</v>
      </c>
    </row>
    <row r="1069" spans="1:8" x14ac:dyDescent="0.2">
      <c r="B1069" s="1" t="s">
        <v>1075</v>
      </c>
    </row>
    <row r="1070" spans="1:8" x14ac:dyDescent="0.2">
      <c r="B1070" s="1" t="s">
        <v>1076</v>
      </c>
    </row>
    <row r="1071" spans="1:8" x14ac:dyDescent="0.2">
      <c r="B1071" s="1" t="s">
        <v>1077</v>
      </c>
    </row>
    <row r="1072" spans="1:8" x14ac:dyDescent="0.2">
      <c r="B1072" s="1" t="s">
        <v>1078</v>
      </c>
    </row>
    <row r="1073" spans="1:8" x14ac:dyDescent="0.2">
      <c r="B1073" s="1" t="s">
        <v>1079</v>
      </c>
    </row>
    <row r="1075" spans="1:8" x14ac:dyDescent="0.2">
      <c r="A1075" s="30" t="s">
        <v>3025</v>
      </c>
      <c r="B1075" s="65"/>
      <c r="C1075" s="65"/>
      <c r="D1075" s="65"/>
      <c r="E1075" s="65"/>
      <c r="F1075" s="65"/>
      <c r="G1075" s="65"/>
      <c r="H1075" s="65"/>
    </row>
    <row r="1077" spans="1:8" x14ac:dyDescent="0.2">
      <c r="A1077" s="1" t="s">
        <v>1080</v>
      </c>
    </row>
    <row r="1078" spans="1:8" x14ac:dyDescent="0.2">
      <c r="B1078" s="1" t="s">
        <v>1081</v>
      </c>
    </row>
    <row r="1079" spans="1:8" x14ac:dyDescent="0.2">
      <c r="B1079" s="1" t="s">
        <v>1082</v>
      </c>
    </row>
    <row r="1080" spans="1:8" x14ac:dyDescent="0.2">
      <c r="B1080" s="1" t="s">
        <v>1083</v>
      </c>
    </row>
    <row r="1081" spans="1:8" x14ac:dyDescent="0.2">
      <c r="B1081" s="1" t="s">
        <v>1084</v>
      </c>
    </row>
    <row r="1082" spans="1:8" x14ac:dyDescent="0.2">
      <c r="B1082" s="1" t="s">
        <v>1085</v>
      </c>
    </row>
    <row r="1083" spans="1:8" x14ac:dyDescent="0.2">
      <c r="B1083" s="1" t="s">
        <v>1086</v>
      </c>
    </row>
    <row r="1084" spans="1:8" x14ac:dyDescent="0.2">
      <c r="B1084" s="1" t="s">
        <v>1087</v>
      </c>
    </row>
    <row r="1085" spans="1:8" x14ac:dyDescent="0.2">
      <c r="B1085" s="1" t="s">
        <v>1088</v>
      </c>
    </row>
    <row r="1086" spans="1:8" x14ac:dyDescent="0.2">
      <c r="B1086" s="1" t="s">
        <v>1089</v>
      </c>
    </row>
    <row r="1087" spans="1:8" x14ac:dyDescent="0.2">
      <c r="B1087" s="1" t="s">
        <v>1090</v>
      </c>
    </row>
    <row r="1089" spans="1:2" x14ac:dyDescent="0.2">
      <c r="A1089" s="1" t="s">
        <v>1091</v>
      </c>
    </row>
    <row r="1090" spans="1:2" x14ac:dyDescent="0.2">
      <c r="B1090" s="1" t="s">
        <v>1092</v>
      </c>
    </row>
    <row r="1091" spans="1:2" x14ac:dyDescent="0.2">
      <c r="B1091" s="1" t="s">
        <v>1093</v>
      </c>
    </row>
    <row r="1092" spans="1:2" x14ac:dyDescent="0.2">
      <c r="B1092" s="1" t="s">
        <v>1094</v>
      </c>
    </row>
    <row r="1093" spans="1:2" x14ac:dyDescent="0.2">
      <c r="B1093" s="1" t="s">
        <v>1095</v>
      </c>
    </row>
    <row r="1094" spans="1:2" x14ac:dyDescent="0.2">
      <c r="B1094" s="1" t="s">
        <v>1096</v>
      </c>
    </row>
    <row r="1095" spans="1:2" x14ac:dyDescent="0.2">
      <c r="B1095" s="1" t="s">
        <v>1097</v>
      </c>
    </row>
    <row r="1096" spans="1:2" x14ac:dyDescent="0.2">
      <c r="B1096" s="1" t="s">
        <v>1098</v>
      </c>
    </row>
    <row r="1098" spans="1:2" x14ac:dyDescent="0.2">
      <c r="A1098" s="68" t="s">
        <v>1099</v>
      </c>
    </row>
    <row r="1099" spans="1:2" x14ac:dyDescent="0.2">
      <c r="A1099" s="68" t="s">
        <v>1100</v>
      </c>
    </row>
    <row r="1100" spans="1:2" x14ac:dyDescent="0.2">
      <c r="A1100" s="68" t="s">
        <v>1101</v>
      </c>
    </row>
    <row r="1102" spans="1:2" x14ac:dyDescent="0.2">
      <c r="A1102" s="1" t="s">
        <v>1102</v>
      </c>
    </row>
    <row r="1103" spans="1:2" x14ac:dyDescent="0.2">
      <c r="B1103" s="1" t="s">
        <v>1103</v>
      </c>
    </row>
    <row r="1104" spans="1:2" x14ac:dyDescent="0.2">
      <c r="B1104" s="1" t="s">
        <v>1104</v>
      </c>
    </row>
    <row r="1105" spans="1:2" x14ac:dyDescent="0.2">
      <c r="B1105" s="1" t="s">
        <v>1105</v>
      </c>
    </row>
    <row r="1106" spans="1:2" x14ac:dyDescent="0.2">
      <c r="B1106" s="1" t="s">
        <v>1106</v>
      </c>
    </row>
    <row r="1107" spans="1:2" x14ac:dyDescent="0.2">
      <c r="B1107" s="1" t="s">
        <v>1107</v>
      </c>
    </row>
    <row r="1108" spans="1:2" x14ac:dyDescent="0.2">
      <c r="B1108" s="1" t="s">
        <v>1108</v>
      </c>
    </row>
    <row r="1109" spans="1:2" x14ac:dyDescent="0.2">
      <c r="B1109" s="1" t="s">
        <v>1109</v>
      </c>
    </row>
    <row r="1110" spans="1:2" x14ac:dyDescent="0.2">
      <c r="B1110" s="1" t="s">
        <v>1110</v>
      </c>
    </row>
    <row r="1111" spans="1:2" x14ac:dyDescent="0.2">
      <c r="B1111" s="1" t="s">
        <v>1111</v>
      </c>
    </row>
    <row r="1112" spans="1:2" x14ac:dyDescent="0.2">
      <c r="B1112" s="1" t="s">
        <v>1112</v>
      </c>
    </row>
    <row r="1113" spans="1:2" x14ac:dyDescent="0.2">
      <c r="B1113" s="1" t="s">
        <v>1113</v>
      </c>
    </row>
    <row r="1114" spans="1:2" x14ac:dyDescent="0.2">
      <c r="B1114" s="1" t="s">
        <v>1114</v>
      </c>
    </row>
    <row r="1116" spans="1:2" x14ac:dyDescent="0.2">
      <c r="A1116" s="1" t="s">
        <v>1115</v>
      </c>
    </row>
    <row r="1117" spans="1:2" x14ac:dyDescent="0.2">
      <c r="B1117" s="1" t="s">
        <v>1116</v>
      </c>
    </row>
    <row r="1118" spans="1:2" x14ac:dyDescent="0.2">
      <c r="B1118" s="1" t="s">
        <v>1117</v>
      </c>
    </row>
    <row r="1119" spans="1:2" x14ac:dyDescent="0.2">
      <c r="B1119" s="1" t="s">
        <v>1118</v>
      </c>
    </row>
    <row r="1120" spans="1:2" x14ac:dyDescent="0.2">
      <c r="B1120" s="1" t="s">
        <v>1119</v>
      </c>
    </row>
  </sheetData>
  <mergeCells count="1">
    <mergeCell ref="A1:I1"/>
  </mergeCells>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1D094D-E3E6-5B44-AB32-5FB933FAF05C}">
  <dimension ref="A1:P810"/>
  <sheetViews>
    <sheetView rightToLeft="1" topLeftCell="A784" zoomScale="349" zoomScaleNormal="350" workbookViewId="0">
      <selection activeCell="A810" sqref="A810:XFD810"/>
    </sheetView>
  </sheetViews>
  <sheetFormatPr baseColWidth="10" defaultRowHeight="16" x14ac:dyDescent="0.2"/>
  <cols>
    <col min="1" max="16384" width="10.83203125" style="1"/>
  </cols>
  <sheetData>
    <row r="1" spans="1:8" x14ac:dyDescent="0.2">
      <c r="A1" s="333" t="s">
        <v>2967</v>
      </c>
      <c r="B1" s="333"/>
      <c r="C1" s="333"/>
      <c r="D1" s="333"/>
      <c r="E1" s="333"/>
      <c r="F1" s="333"/>
      <c r="G1" s="333"/>
      <c r="H1" s="333"/>
    </row>
    <row r="2" spans="1:8" ht="17" thickBot="1" x14ac:dyDescent="0.25"/>
    <row r="3" spans="1:8" x14ac:dyDescent="0.2">
      <c r="A3" s="46" t="s">
        <v>1164</v>
      </c>
      <c r="B3" s="32"/>
      <c r="C3" s="32"/>
      <c r="D3" s="32"/>
      <c r="E3" s="32"/>
      <c r="F3" s="32"/>
      <c r="G3" s="32"/>
      <c r="H3" s="33"/>
    </row>
    <row r="4" spans="1:8" x14ac:dyDescent="0.2">
      <c r="A4" s="34" t="s">
        <v>1385</v>
      </c>
      <c r="H4" s="35"/>
    </row>
    <row r="5" spans="1:8" x14ac:dyDescent="0.2">
      <c r="A5" s="34" t="s">
        <v>1386</v>
      </c>
      <c r="H5" s="35"/>
    </row>
    <row r="6" spans="1:8" ht="17" thickBot="1" x14ac:dyDescent="0.25">
      <c r="A6" s="36" t="s">
        <v>1387</v>
      </c>
      <c r="B6" s="37"/>
      <c r="C6" s="37"/>
      <c r="D6" s="37"/>
      <c r="E6" s="37"/>
      <c r="F6" s="37"/>
      <c r="G6" s="37"/>
      <c r="H6" s="38"/>
    </row>
    <row r="7" spans="1:8" ht="17" thickBot="1" x14ac:dyDescent="0.25"/>
    <row r="8" spans="1:8" x14ac:dyDescent="0.2">
      <c r="A8" s="31" t="s">
        <v>1165</v>
      </c>
      <c r="B8" s="32"/>
      <c r="C8" s="32"/>
      <c r="D8" s="32"/>
      <c r="E8" s="32"/>
      <c r="F8" s="32"/>
      <c r="G8" s="32"/>
      <c r="H8" s="33"/>
    </row>
    <row r="9" spans="1:8" x14ac:dyDescent="0.2">
      <c r="A9" s="34" t="s">
        <v>1166</v>
      </c>
      <c r="H9" s="35"/>
    </row>
    <row r="10" spans="1:8" x14ac:dyDescent="0.2">
      <c r="A10" s="34" t="s">
        <v>1167</v>
      </c>
      <c r="H10" s="35"/>
    </row>
    <row r="11" spans="1:8" x14ac:dyDescent="0.2">
      <c r="A11" s="34" t="s">
        <v>1168</v>
      </c>
      <c r="H11" s="35"/>
    </row>
    <row r="12" spans="1:8" x14ac:dyDescent="0.2">
      <c r="A12" s="34" t="s">
        <v>1169</v>
      </c>
      <c r="H12" s="35"/>
    </row>
    <row r="13" spans="1:8" x14ac:dyDescent="0.2">
      <c r="A13" s="34" t="s">
        <v>1170</v>
      </c>
      <c r="H13" s="35"/>
    </row>
    <row r="14" spans="1:8" x14ac:dyDescent="0.2">
      <c r="A14" s="34" t="s">
        <v>1383</v>
      </c>
      <c r="H14" s="35"/>
    </row>
    <row r="15" spans="1:8" ht="17" thickBot="1" x14ac:dyDescent="0.25">
      <c r="A15" s="36" t="s">
        <v>1384</v>
      </c>
      <c r="B15" s="37"/>
      <c r="C15" s="37"/>
      <c r="D15" s="37"/>
      <c r="E15" s="37"/>
      <c r="F15" s="37"/>
      <c r="G15" s="37"/>
      <c r="H15" s="38"/>
    </row>
    <row r="17" spans="1:2" x14ac:dyDescent="0.2">
      <c r="A17" s="1" t="s">
        <v>857</v>
      </c>
    </row>
    <row r="18" spans="1:2" x14ac:dyDescent="0.2">
      <c r="B18" s="1" t="s">
        <v>858</v>
      </c>
    </row>
    <row r="19" spans="1:2" x14ac:dyDescent="0.2">
      <c r="B19" s="1" t="s">
        <v>859</v>
      </c>
    </row>
    <row r="20" spans="1:2" x14ac:dyDescent="0.2">
      <c r="B20" s="1" t="s">
        <v>860</v>
      </c>
    </row>
    <row r="22" spans="1:2" x14ac:dyDescent="0.2">
      <c r="A22" s="3" t="s">
        <v>992</v>
      </c>
    </row>
    <row r="24" spans="1:2" x14ac:dyDescent="0.2">
      <c r="A24" s="1" t="s">
        <v>861</v>
      </c>
    </row>
    <row r="25" spans="1:2" x14ac:dyDescent="0.2">
      <c r="B25" s="1" t="s">
        <v>862</v>
      </c>
    </row>
    <row r="26" spans="1:2" x14ac:dyDescent="0.2">
      <c r="B26" s="1" t="s">
        <v>2979</v>
      </c>
    </row>
    <row r="27" spans="1:2" x14ac:dyDescent="0.2">
      <c r="B27" s="3" t="s">
        <v>863</v>
      </c>
    </row>
    <row r="29" spans="1:2" x14ac:dyDescent="0.2">
      <c r="A29" s="1" t="s">
        <v>1388</v>
      </c>
    </row>
    <row r="30" spans="1:2" x14ac:dyDescent="0.2">
      <c r="A30" s="1" t="s">
        <v>1389</v>
      </c>
    </row>
    <row r="31" spans="1:2" x14ac:dyDescent="0.2">
      <c r="A31" s="1" t="s">
        <v>1390</v>
      </c>
    </row>
    <row r="32" spans="1:2" x14ac:dyDescent="0.2">
      <c r="A32" s="1" t="s">
        <v>1391</v>
      </c>
    </row>
    <row r="34" spans="1:1" x14ac:dyDescent="0.2">
      <c r="A34" s="1" t="s">
        <v>730</v>
      </c>
    </row>
    <row r="35" spans="1:1" x14ac:dyDescent="0.2">
      <c r="A35" s="1" t="s">
        <v>2968</v>
      </c>
    </row>
    <row r="36" spans="1:1" x14ac:dyDescent="0.2">
      <c r="A36" s="1" t="s">
        <v>2969</v>
      </c>
    </row>
    <row r="37" spans="1:1" x14ac:dyDescent="0.2">
      <c r="A37" s="1" t="s">
        <v>2970</v>
      </c>
    </row>
    <row r="38" spans="1:1" x14ac:dyDescent="0.2">
      <c r="A38" s="1" t="s">
        <v>2971</v>
      </c>
    </row>
    <row r="39" spans="1:1" x14ac:dyDescent="0.2">
      <c r="A39" s="1" t="s">
        <v>2972</v>
      </c>
    </row>
    <row r="41" spans="1:1" x14ac:dyDescent="0.2">
      <c r="A41" s="1" t="s">
        <v>2973</v>
      </c>
    </row>
    <row r="42" spans="1:1" x14ac:dyDescent="0.2">
      <c r="A42" s="1" t="s">
        <v>2974</v>
      </c>
    </row>
    <row r="44" spans="1:1" x14ac:dyDescent="0.2">
      <c r="A44" s="1" t="s">
        <v>2975</v>
      </c>
    </row>
    <row r="45" spans="1:1" x14ac:dyDescent="0.2">
      <c r="A45" s="1" t="s">
        <v>2976</v>
      </c>
    </row>
    <row r="46" spans="1:1" x14ac:dyDescent="0.2">
      <c r="A46" s="1" t="s">
        <v>2977</v>
      </c>
    </row>
    <row r="48" spans="1:1" x14ac:dyDescent="0.2">
      <c r="A48" s="1" t="s">
        <v>2978</v>
      </c>
    </row>
    <row r="49" spans="1:8" x14ac:dyDescent="0.2">
      <c r="A49" s="1" t="s">
        <v>2980</v>
      </c>
    </row>
    <row r="50" spans="1:8" ht="17" thickBot="1" x14ac:dyDescent="0.25"/>
    <row r="51" spans="1:8" x14ac:dyDescent="0.2">
      <c r="A51" s="31" t="s">
        <v>2661</v>
      </c>
      <c r="B51" s="32"/>
      <c r="C51" s="32"/>
      <c r="D51" s="32"/>
      <c r="E51" s="32"/>
      <c r="F51" s="32"/>
      <c r="G51" s="32"/>
      <c r="H51" s="33"/>
    </row>
    <row r="52" spans="1:8" x14ac:dyDescent="0.2">
      <c r="A52" s="34"/>
      <c r="H52" s="35"/>
    </row>
    <row r="53" spans="1:8" x14ac:dyDescent="0.2">
      <c r="A53" s="34" t="s">
        <v>2981</v>
      </c>
      <c r="H53" s="35"/>
    </row>
    <row r="54" spans="1:8" x14ac:dyDescent="0.2">
      <c r="A54" s="34"/>
      <c r="H54" s="35"/>
    </row>
    <row r="55" spans="1:8" x14ac:dyDescent="0.2">
      <c r="A55" s="34" t="s">
        <v>2982</v>
      </c>
      <c r="H55" s="35"/>
    </row>
    <row r="56" spans="1:8" x14ac:dyDescent="0.2">
      <c r="A56" s="34" t="s">
        <v>2983</v>
      </c>
      <c r="H56" s="35"/>
    </row>
    <row r="57" spans="1:8" x14ac:dyDescent="0.2">
      <c r="A57" s="34" t="s">
        <v>2984</v>
      </c>
      <c r="H57" s="35"/>
    </row>
    <row r="58" spans="1:8" x14ac:dyDescent="0.2">
      <c r="A58" s="34"/>
      <c r="H58" s="35"/>
    </row>
    <row r="59" spans="1:8" ht="17" thickBot="1" x14ac:dyDescent="0.25">
      <c r="A59" s="231" t="s">
        <v>2985</v>
      </c>
      <c r="B59" s="37"/>
      <c r="C59" s="37"/>
      <c r="D59" s="37"/>
      <c r="E59" s="37"/>
      <c r="F59" s="37"/>
      <c r="G59" s="37"/>
      <c r="H59" s="38"/>
    </row>
    <row r="63" spans="1:8" ht="17" thickBot="1" x14ac:dyDescent="0.25">
      <c r="A63" s="3" t="s">
        <v>864</v>
      </c>
      <c r="B63" s="3"/>
      <c r="C63" s="3"/>
      <c r="D63" s="3"/>
      <c r="E63" s="3"/>
      <c r="F63" s="3"/>
      <c r="G63" s="3"/>
      <c r="H63" s="3"/>
    </row>
    <row r="64" spans="1:8" x14ac:dyDescent="0.2">
      <c r="A64" s="3"/>
      <c r="B64" s="31" t="s">
        <v>865</v>
      </c>
      <c r="C64" s="76"/>
      <c r="D64" s="76"/>
      <c r="E64" s="76"/>
      <c r="F64" s="76"/>
      <c r="G64" s="76"/>
      <c r="H64" s="77"/>
    </row>
    <row r="65" spans="1:8" x14ac:dyDescent="0.2">
      <c r="A65" s="3"/>
      <c r="B65" s="78" t="s">
        <v>866</v>
      </c>
      <c r="C65" s="3"/>
      <c r="D65" s="3"/>
      <c r="E65" s="3"/>
      <c r="F65" s="3"/>
      <c r="G65" s="3"/>
      <c r="H65" s="79"/>
    </row>
    <row r="66" spans="1:8" x14ac:dyDescent="0.2">
      <c r="A66" s="3"/>
      <c r="B66" s="78" t="s">
        <v>867</v>
      </c>
      <c r="C66" s="3"/>
      <c r="D66" s="3"/>
      <c r="E66" s="3"/>
      <c r="F66" s="3"/>
      <c r="G66" s="3"/>
      <c r="H66" s="79"/>
    </row>
    <row r="67" spans="1:8" ht="17" thickBot="1" x14ac:dyDescent="0.25">
      <c r="A67" s="3"/>
      <c r="B67" s="80" t="s">
        <v>868</v>
      </c>
      <c r="C67" s="81"/>
      <c r="D67" s="81"/>
      <c r="E67" s="81"/>
      <c r="F67" s="81"/>
      <c r="G67" s="81"/>
      <c r="H67" s="82"/>
    </row>
    <row r="68" spans="1:8" x14ac:dyDescent="0.2">
      <c r="A68" s="3"/>
      <c r="B68" s="31" t="s">
        <v>869</v>
      </c>
      <c r="C68" s="76"/>
      <c r="D68" s="76"/>
      <c r="E68" s="76"/>
      <c r="F68" s="76"/>
      <c r="G68" s="76"/>
      <c r="H68" s="77"/>
    </row>
    <row r="69" spans="1:8" x14ac:dyDescent="0.2">
      <c r="A69" s="3"/>
      <c r="B69" s="78" t="s">
        <v>870</v>
      </c>
      <c r="C69" s="3"/>
      <c r="D69" s="3"/>
      <c r="E69" s="3"/>
      <c r="F69" s="3"/>
      <c r="G69" s="3"/>
      <c r="H69" s="79"/>
    </row>
    <row r="70" spans="1:8" x14ac:dyDescent="0.2">
      <c r="A70" s="3"/>
      <c r="B70" s="78" t="s">
        <v>871</v>
      </c>
      <c r="C70" s="3"/>
      <c r="D70" s="3"/>
      <c r="E70" s="3"/>
      <c r="F70" s="3"/>
      <c r="G70" s="3"/>
      <c r="H70" s="79"/>
    </row>
    <row r="71" spans="1:8" ht="17" thickBot="1" x14ac:dyDescent="0.25">
      <c r="A71" s="3"/>
      <c r="B71" s="80" t="s">
        <v>872</v>
      </c>
      <c r="C71" s="81"/>
      <c r="D71" s="81"/>
      <c r="E71" s="81"/>
      <c r="F71" s="81"/>
      <c r="G71" s="81"/>
      <c r="H71" s="82"/>
    </row>
    <row r="73" spans="1:8" x14ac:dyDescent="0.2">
      <c r="A73" s="1" t="s">
        <v>2986</v>
      </c>
    </row>
    <row r="74" spans="1:8" x14ac:dyDescent="0.2">
      <c r="A74" s="1" t="s">
        <v>2989</v>
      </c>
    </row>
    <row r="75" spans="1:8" x14ac:dyDescent="0.2">
      <c r="A75" s="1" t="s">
        <v>2990</v>
      </c>
    </row>
    <row r="76" spans="1:8" x14ac:dyDescent="0.2">
      <c r="A76" s="1" t="s">
        <v>2987</v>
      </c>
    </row>
    <row r="77" spans="1:8" x14ac:dyDescent="0.2">
      <c r="A77" s="1" t="s">
        <v>2988</v>
      </c>
    </row>
    <row r="79" spans="1:8" x14ac:dyDescent="0.2">
      <c r="A79" s="1" t="s">
        <v>2991</v>
      </c>
    </row>
    <row r="80" spans="1:8" x14ac:dyDescent="0.2">
      <c r="A80" s="1" t="s">
        <v>2992</v>
      </c>
    </row>
    <row r="81" spans="1:8" x14ac:dyDescent="0.2">
      <c r="A81" s="1" t="s">
        <v>2993</v>
      </c>
    </row>
    <row r="82" spans="1:8" x14ac:dyDescent="0.2">
      <c r="A82" s="1" t="s">
        <v>2994</v>
      </c>
    </row>
    <row r="83" spans="1:8" ht="17" thickBot="1" x14ac:dyDescent="0.25"/>
    <row r="84" spans="1:8" x14ac:dyDescent="0.2">
      <c r="A84" s="31" t="s">
        <v>2995</v>
      </c>
      <c r="B84" s="32"/>
      <c r="C84" s="32"/>
      <c r="D84" s="32"/>
      <c r="E84" s="32"/>
      <c r="F84" s="32"/>
      <c r="G84" s="32"/>
      <c r="H84" s="33"/>
    </row>
    <row r="85" spans="1:8" x14ac:dyDescent="0.2">
      <c r="A85" s="78" t="s">
        <v>2996</v>
      </c>
      <c r="H85" s="35"/>
    </row>
    <row r="86" spans="1:8" ht="17" thickBot="1" x14ac:dyDescent="0.25">
      <c r="A86" s="80" t="s">
        <v>2997</v>
      </c>
      <c r="B86" s="37"/>
      <c r="C86" s="37"/>
      <c r="D86" s="37"/>
      <c r="E86" s="37"/>
      <c r="F86" s="37"/>
      <c r="G86" s="37"/>
      <c r="H86" s="38"/>
    </row>
    <row r="88" spans="1:8" x14ac:dyDescent="0.2">
      <c r="A88" s="232" t="s">
        <v>2998</v>
      </c>
    </row>
    <row r="95" spans="1:8" x14ac:dyDescent="0.2">
      <c r="C95" s="1" t="s">
        <v>2079</v>
      </c>
      <c r="E95" s="1" t="s">
        <v>2346</v>
      </c>
    </row>
    <row r="99" spans="2:6" x14ac:dyDescent="0.2">
      <c r="B99"/>
      <c r="D99" s="1" t="s">
        <v>3000</v>
      </c>
    </row>
    <row r="100" spans="2:6" x14ac:dyDescent="0.2">
      <c r="D100" s="1" t="s">
        <v>3001</v>
      </c>
    </row>
    <row r="103" spans="2:6" x14ac:dyDescent="0.2">
      <c r="B103" s="3" t="s">
        <v>2999</v>
      </c>
    </row>
    <row r="104" spans="2:6" x14ac:dyDescent="0.2">
      <c r="B104" s="1" t="s">
        <v>3005</v>
      </c>
      <c r="F104" s="1" t="s">
        <v>3002</v>
      </c>
    </row>
    <row r="105" spans="2:6" x14ac:dyDescent="0.2">
      <c r="B105" s="3" t="s">
        <v>3006</v>
      </c>
      <c r="F105" s="1" t="s">
        <v>3003</v>
      </c>
    </row>
    <row r="106" spans="2:6" x14ac:dyDescent="0.2">
      <c r="B106" s="1" t="s">
        <v>3007</v>
      </c>
    </row>
    <row r="107" spans="2:6" x14ac:dyDescent="0.2">
      <c r="B107" s="1" t="s">
        <v>3008</v>
      </c>
    </row>
    <row r="108" spans="2:6" x14ac:dyDescent="0.2">
      <c r="B108" s="1" t="s">
        <v>3009</v>
      </c>
      <c r="E108"/>
    </row>
    <row r="109" spans="2:6" x14ac:dyDescent="0.2">
      <c r="B109" s="1" t="s">
        <v>3014</v>
      </c>
    </row>
    <row r="110" spans="2:6" x14ac:dyDescent="0.2">
      <c r="B110" s="1" t="s">
        <v>3015</v>
      </c>
    </row>
    <row r="111" spans="2:6" x14ac:dyDescent="0.2">
      <c r="B111" s="1" t="s">
        <v>3016</v>
      </c>
      <c r="F111" s="3" t="s">
        <v>3004</v>
      </c>
    </row>
    <row r="112" spans="2:6" x14ac:dyDescent="0.2">
      <c r="F112" s="3" t="s">
        <v>3010</v>
      </c>
    </row>
    <row r="113" spans="1:8" x14ac:dyDescent="0.2">
      <c r="F113" s="3" t="s">
        <v>3011</v>
      </c>
    </row>
    <row r="114" spans="1:8" x14ac:dyDescent="0.2">
      <c r="F114" s="3"/>
      <c r="G114" s="1" t="s">
        <v>3012</v>
      </c>
    </row>
    <row r="115" spans="1:8" x14ac:dyDescent="0.2">
      <c r="F115" s="3"/>
      <c r="G115" s="1" t="s">
        <v>3013</v>
      </c>
    </row>
    <row r="116" spans="1:8" x14ac:dyDescent="0.2">
      <c r="F116" s="3"/>
    </row>
    <row r="117" spans="1:8" x14ac:dyDescent="0.2">
      <c r="F117" s="3"/>
    </row>
    <row r="118" spans="1:8" ht="17" thickBot="1" x14ac:dyDescent="0.25">
      <c r="A118" s="1" t="s">
        <v>873</v>
      </c>
    </row>
    <row r="119" spans="1:8" x14ac:dyDescent="0.2">
      <c r="B119" s="46" t="s">
        <v>874</v>
      </c>
      <c r="C119" s="32"/>
      <c r="D119" s="32"/>
      <c r="E119" s="32"/>
      <c r="F119" s="32"/>
      <c r="G119" s="32"/>
      <c r="H119" s="33"/>
    </row>
    <row r="120" spans="1:8" x14ac:dyDescent="0.2">
      <c r="B120" s="34" t="s">
        <v>875</v>
      </c>
      <c r="H120" s="35"/>
    </row>
    <row r="121" spans="1:8" x14ac:dyDescent="0.2">
      <c r="B121" s="34" t="s">
        <v>876</v>
      </c>
      <c r="H121" s="35"/>
    </row>
    <row r="122" spans="1:8" x14ac:dyDescent="0.2">
      <c r="B122" s="34" t="s">
        <v>877</v>
      </c>
      <c r="H122" s="35"/>
    </row>
    <row r="123" spans="1:8" x14ac:dyDescent="0.2">
      <c r="B123" s="34" t="s">
        <v>878</v>
      </c>
      <c r="H123" s="35"/>
    </row>
    <row r="124" spans="1:8" ht="17" thickBot="1" x14ac:dyDescent="0.25">
      <c r="B124" s="36" t="s">
        <v>879</v>
      </c>
      <c r="C124" s="37"/>
      <c r="D124" s="37"/>
      <c r="E124" s="37"/>
      <c r="F124" s="37"/>
      <c r="G124" s="37"/>
      <c r="H124" s="38"/>
    </row>
    <row r="126" spans="1:8" x14ac:dyDescent="0.2">
      <c r="A126" s="3" t="s">
        <v>1392</v>
      </c>
    </row>
    <row r="128" spans="1:8" ht="17" thickBot="1" x14ac:dyDescent="0.25">
      <c r="A128" s="1" t="s">
        <v>880</v>
      </c>
    </row>
    <row r="129" spans="1:8" x14ac:dyDescent="0.2">
      <c r="B129" s="46" t="s">
        <v>881</v>
      </c>
      <c r="C129" s="32"/>
      <c r="D129" s="32"/>
      <c r="E129" s="32"/>
      <c r="F129" s="32"/>
      <c r="G129" s="32"/>
      <c r="H129" s="33"/>
    </row>
    <row r="130" spans="1:8" x14ac:dyDescent="0.2">
      <c r="B130" s="34" t="s">
        <v>882</v>
      </c>
      <c r="H130" s="35"/>
    </row>
    <row r="131" spans="1:8" x14ac:dyDescent="0.2">
      <c r="B131" s="34" t="s">
        <v>883</v>
      </c>
      <c r="H131" s="35"/>
    </row>
    <row r="132" spans="1:8" x14ac:dyDescent="0.2">
      <c r="B132" s="34" t="s">
        <v>850</v>
      </c>
      <c r="H132" s="35"/>
    </row>
    <row r="133" spans="1:8" x14ac:dyDescent="0.2">
      <c r="B133" s="34" t="s">
        <v>884</v>
      </c>
      <c r="H133" s="35"/>
    </row>
    <row r="134" spans="1:8" x14ac:dyDescent="0.2">
      <c r="B134" s="34" t="s">
        <v>885</v>
      </c>
      <c r="H134" s="35"/>
    </row>
    <row r="135" spans="1:8" x14ac:dyDescent="0.2">
      <c r="B135" s="34" t="s">
        <v>886</v>
      </c>
      <c r="H135" s="35"/>
    </row>
    <row r="136" spans="1:8" x14ac:dyDescent="0.2">
      <c r="B136" s="34" t="s">
        <v>887</v>
      </c>
      <c r="H136" s="35"/>
    </row>
    <row r="137" spans="1:8" x14ac:dyDescent="0.2">
      <c r="B137" s="34" t="s">
        <v>888</v>
      </c>
      <c r="H137" s="35"/>
    </row>
    <row r="138" spans="1:8" x14ac:dyDescent="0.2">
      <c r="B138" s="34" t="s">
        <v>889</v>
      </c>
      <c r="H138" s="35"/>
    </row>
    <row r="139" spans="1:8" x14ac:dyDescent="0.2">
      <c r="B139" s="34" t="s">
        <v>890</v>
      </c>
      <c r="H139" s="35"/>
    </row>
    <row r="140" spans="1:8" ht="17" thickBot="1" x14ac:dyDescent="0.25">
      <c r="B140" s="36" t="s">
        <v>891</v>
      </c>
      <c r="C140" s="37"/>
      <c r="D140" s="37"/>
      <c r="E140" s="37"/>
      <c r="F140" s="37"/>
      <c r="G140" s="37"/>
      <c r="H140" s="38"/>
    </row>
    <row r="142" spans="1:8" x14ac:dyDescent="0.2">
      <c r="A142" s="3" t="s">
        <v>3017</v>
      </c>
    </row>
    <row r="143" spans="1:8" x14ac:dyDescent="0.2">
      <c r="A143" s="3" t="s">
        <v>1393</v>
      </c>
    </row>
    <row r="145" spans="1:8" ht="17" thickBot="1" x14ac:dyDescent="0.25">
      <c r="A145" s="1" t="s">
        <v>892</v>
      </c>
    </row>
    <row r="146" spans="1:8" x14ac:dyDescent="0.2">
      <c r="B146" s="46" t="s">
        <v>893</v>
      </c>
      <c r="C146" s="32"/>
      <c r="D146" s="32"/>
      <c r="E146" s="32"/>
      <c r="F146" s="32"/>
      <c r="G146" s="32"/>
      <c r="H146" s="33"/>
    </row>
    <row r="147" spans="1:8" ht="17" thickBot="1" x14ac:dyDescent="0.25">
      <c r="B147" s="36" t="s">
        <v>894</v>
      </c>
      <c r="C147" s="37"/>
      <c r="D147" s="37"/>
      <c r="E147" s="37"/>
      <c r="F147" s="37"/>
      <c r="G147" s="37"/>
      <c r="H147" s="38"/>
    </row>
    <row r="149" spans="1:8" x14ac:dyDescent="0.2">
      <c r="A149" s="30" t="s">
        <v>993</v>
      </c>
      <c r="B149" s="65"/>
      <c r="C149" s="65"/>
      <c r="D149" s="65"/>
      <c r="E149" s="65"/>
      <c r="F149" s="65"/>
      <c r="G149" s="65"/>
      <c r="H149" s="65"/>
    </row>
    <row r="151" spans="1:8" x14ac:dyDescent="0.2">
      <c r="A151" s="1" t="s">
        <v>994</v>
      </c>
    </row>
    <row r="152" spans="1:8" x14ac:dyDescent="0.2">
      <c r="B152" s="1" t="s">
        <v>995</v>
      </c>
    </row>
    <row r="153" spans="1:8" x14ac:dyDescent="0.2">
      <c r="B153" s="1" t="s">
        <v>1394</v>
      </c>
    </row>
    <row r="154" spans="1:8" x14ac:dyDescent="0.2">
      <c r="B154" s="1" t="s">
        <v>996</v>
      </c>
    </row>
    <row r="155" spans="1:8" x14ac:dyDescent="0.2">
      <c r="B155" s="1" t="s">
        <v>997</v>
      </c>
    </row>
    <row r="156" spans="1:8" x14ac:dyDescent="0.2">
      <c r="B156" s="1" t="s">
        <v>998</v>
      </c>
    </row>
    <row r="157" spans="1:8" x14ac:dyDescent="0.2">
      <c r="B157" s="1" t="s">
        <v>999</v>
      </c>
    </row>
    <row r="159" spans="1:8" x14ac:dyDescent="0.2">
      <c r="A159" s="83" t="s">
        <v>3022</v>
      </c>
      <c r="B159" s="84"/>
      <c r="C159" s="84"/>
      <c r="D159" s="84"/>
      <c r="E159" s="84"/>
      <c r="F159" s="84"/>
      <c r="G159" s="84"/>
      <c r="H159" s="84"/>
    </row>
    <row r="160" spans="1:8" x14ac:dyDescent="0.2">
      <c r="B160" s="1" t="s">
        <v>1000</v>
      </c>
    </row>
    <row r="161" spans="1:8" x14ac:dyDescent="0.2">
      <c r="B161" s="1" t="s">
        <v>1001</v>
      </c>
    </row>
    <row r="162" spans="1:8" x14ac:dyDescent="0.2">
      <c r="B162" s="1" t="s">
        <v>1002</v>
      </c>
    </row>
    <row r="163" spans="1:8" x14ac:dyDescent="0.2">
      <c r="B163" s="1" t="s">
        <v>1003</v>
      </c>
    </row>
    <row r="164" spans="1:8" x14ac:dyDescent="0.2">
      <c r="B164" s="1" t="s">
        <v>1004</v>
      </c>
    </row>
    <row r="165" spans="1:8" x14ac:dyDescent="0.2">
      <c r="B165" s="1" t="s">
        <v>1005</v>
      </c>
    </row>
    <row r="167" spans="1:8" x14ac:dyDescent="0.2">
      <c r="A167" s="83" t="s">
        <v>3023</v>
      </c>
      <c r="B167" s="84"/>
      <c r="C167" s="84"/>
      <c r="D167" s="84"/>
      <c r="E167" s="84"/>
      <c r="F167" s="84"/>
      <c r="G167" s="84"/>
      <c r="H167" s="84"/>
    </row>
    <row r="169" spans="1:8" x14ac:dyDescent="0.2">
      <c r="A169" s="1" t="s">
        <v>3018</v>
      </c>
    </row>
    <row r="170" spans="1:8" x14ac:dyDescent="0.2">
      <c r="A170" s="1" t="s">
        <v>3019</v>
      </c>
    </row>
    <row r="171" spans="1:8" x14ac:dyDescent="0.2">
      <c r="A171" s="1" t="s">
        <v>3020</v>
      </c>
    </row>
    <row r="172" spans="1:8" x14ac:dyDescent="0.2">
      <c r="A172" s="1" t="s">
        <v>3021</v>
      </c>
    </row>
    <row r="174" spans="1:8" x14ac:dyDescent="0.2">
      <c r="A174" s="1" t="s">
        <v>1400</v>
      </c>
    </row>
    <row r="176" spans="1:8" x14ac:dyDescent="0.2">
      <c r="C176" s="108">
        <v>44196</v>
      </c>
      <c r="E176" s="1" t="s">
        <v>1397</v>
      </c>
      <c r="H176" s="1">
        <v>20</v>
      </c>
    </row>
    <row r="177" spans="1:9" x14ac:dyDescent="0.2">
      <c r="B177" s="1" t="s">
        <v>1396</v>
      </c>
      <c r="C177" s="42">
        <v>400000</v>
      </c>
      <c r="E177" s="1" t="s">
        <v>1399</v>
      </c>
      <c r="H177" s="1">
        <v>4</v>
      </c>
    </row>
    <row r="178" spans="1:9" x14ac:dyDescent="0.2">
      <c r="B178" s="62" t="s">
        <v>691</v>
      </c>
      <c r="C178" s="127">
        <v>-150000</v>
      </c>
      <c r="D178" s="62"/>
      <c r="E178" s="1" t="s">
        <v>1006</v>
      </c>
      <c r="H178" s="1">
        <f>H176*H177</f>
        <v>80</v>
      </c>
      <c r="I178" s="1" t="s">
        <v>1398</v>
      </c>
    </row>
    <row r="179" spans="1:9" x14ac:dyDescent="0.2">
      <c r="B179" s="62" t="s">
        <v>120</v>
      </c>
      <c r="C179" s="124">
        <f>C177+C178</f>
        <v>250000</v>
      </c>
    </row>
    <row r="180" spans="1:9" x14ac:dyDescent="0.2">
      <c r="E180" s="1" t="s">
        <v>1395</v>
      </c>
      <c r="H180" s="66">
        <v>30</v>
      </c>
    </row>
    <row r="183" spans="1:9" x14ac:dyDescent="0.2">
      <c r="A183" s="1" t="s">
        <v>1007</v>
      </c>
    </row>
    <row r="186" spans="1:9" x14ac:dyDescent="0.2">
      <c r="A186" s="3" t="s">
        <v>1008</v>
      </c>
    </row>
    <row r="187" spans="1:9" x14ac:dyDescent="0.2">
      <c r="A187" s="3" t="s">
        <v>1009</v>
      </c>
    </row>
    <row r="191" spans="1:9" x14ac:dyDescent="0.2">
      <c r="A191" s="30" t="s">
        <v>1010</v>
      </c>
      <c r="B191" s="65"/>
      <c r="C191" s="65"/>
      <c r="D191" s="65"/>
      <c r="E191" s="65"/>
      <c r="F191" s="65"/>
      <c r="G191" s="65"/>
      <c r="H191" s="65"/>
    </row>
    <row r="192" spans="1:9" ht="17" thickBot="1" x14ac:dyDescent="0.25"/>
    <row r="193" spans="1:8" x14ac:dyDescent="0.2">
      <c r="A193" s="46" t="s">
        <v>1011</v>
      </c>
      <c r="B193" s="32"/>
      <c r="C193" s="32"/>
      <c r="D193" s="32"/>
      <c r="E193" s="32"/>
      <c r="F193" s="32"/>
      <c r="G193" s="32"/>
      <c r="H193" s="33"/>
    </row>
    <row r="194" spans="1:8" x14ac:dyDescent="0.2">
      <c r="A194" s="34"/>
      <c r="B194" s="1" t="s">
        <v>1012</v>
      </c>
      <c r="H194" s="35"/>
    </row>
    <row r="195" spans="1:8" ht="17" thickBot="1" x14ac:dyDescent="0.25">
      <c r="A195" s="36"/>
      <c r="B195" s="37" t="s">
        <v>1013</v>
      </c>
      <c r="C195" s="37"/>
      <c r="D195" s="37"/>
      <c r="E195" s="37"/>
      <c r="F195" s="37"/>
      <c r="G195" s="37"/>
      <c r="H195" s="38"/>
    </row>
    <row r="197" spans="1:8" x14ac:dyDescent="0.2">
      <c r="A197" s="68" t="s">
        <v>1014</v>
      </c>
      <c r="B197" s="68"/>
      <c r="C197" s="68"/>
      <c r="D197" s="68"/>
      <c r="E197" s="68"/>
      <c r="F197" s="68"/>
      <c r="G197" s="68"/>
    </row>
    <row r="198" spans="1:8" x14ac:dyDescent="0.2">
      <c r="A198" s="68" t="s">
        <v>1015</v>
      </c>
      <c r="B198" s="68"/>
      <c r="C198" s="68"/>
      <c r="D198" s="68"/>
      <c r="E198" s="68"/>
      <c r="F198" s="68"/>
      <c r="G198" s="68"/>
    </row>
    <row r="199" spans="1:8" x14ac:dyDescent="0.2">
      <c r="A199" s="68" t="s">
        <v>1016</v>
      </c>
      <c r="B199" s="68"/>
      <c r="C199" s="68"/>
      <c r="D199" s="68"/>
      <c r="E199" s="68"/>
      <c r="F199" s="68"/>
      <c r="G199" s="68"/>
    </row>
    <row r="201" spans="1:8" x14ac:dyDescent="0.2">
      <c r="A201" s="1" t="s">
        <v>1017</v>
      </c>
    </row>
    <row r="202" spans="1:8" x14ac:dyDescent="0.2">
      <c r="B202" s="1" t="s">
        <v>1018</v>
      </c>
    </row>
    <row r="203" spans="1:8" x14ac:dyDescent="0.2">
      <c r="B203" s="1" t="s">
        <v>1019</v>
      </c>
    </row>
    <row r="204" spans="1:8" x14ac:dyDescent="0.2">
      <c r="B204" s="1" t="s">
        <v>1020</v>
      </c>
    </row>
    <row r="205" spans="1:8" x14ac:dyDescent="0.2">
      <c r="B205" s="1" t="s">
        <v>1021</v>
      </c>
    </row>
    <row r="206" spans="1:8" x14ac:dyDescent="0.2">
      <c r="B206" s="1" t="s">
        <v>1022</v>
      </c>
    </row>
    <row r="207" spans="1:8" x14ac:dyDescent="0.2">
      <c r="B207" s="1" t="s">
        <v>1023</v>
      </c>
    </row>
    <row r="208" spans="1:8" x14ac:dyDescent="0.2">
      <c r="B208" s="1" t="s">
        <v>1024</v>
      </c>
    </row>
    <row r="209" spans="1:2" x14ac:dyDescent="0.2">
      <c r="B209" s="1" t="s">
        <v>1025</v>
      </c>
    </row>
    <row r="210" spans="1:2" x14ac:dyDescent="0.2">
      <c r="B210" s="1" t="s">
        <v>1026</v>
      </c>
    </row>
    <row r="211" spans="1:2" x14ac:dyDescent="0.2">
      <c r="B211" s="1" t="s">
        <v>1027</v>
      </c>
    </row>
    <row r="212" spans="1:2" x14ac:dyDescent="0.2">
      <c r="B212" s="1" t="s">
        <v>1028</v>
      </c>
    </row>
    <row r="214" spans="1:2" x14ac:dyDescent="0.2">
      <c r="A214" s="1" t="s">
        <v>1029</v>
      </c>
    </row>
    <row r="215" spans="1:2" x14ac:dyDescent="0.2">
      <c r="B215" s="1" t="s">
        <v>1030</v>
      </c>
    </row>
    <row r="216" spans="1:2" x14ac:dyDescent="0.2">
      <c r="B216" s="1" t="s">
        <v>1031</v>
      </c>
    </row>
    <row r="217" spans="1:2" x14ac:dyDescent="0.2">
      <c r="B217" s="1" t="s">
        <v>1032</v>
      </c>
    </row>
    <row r="218" spans="1:2" x14ac:dyDescent="0.2">
      <c r="B218" s="1" t="s">
        <v>1033</v>
      </c>
    </row>
    <row r="219" spans="1:2" x14ac:dyDescent="0.2">
      <c r="B219" s="1" t="s">
        <v>1034</v>
      </c>
    </row>
    <row r="220" spans="1:2" x14ac:dyDescent="0.2">
      <c r="B220" s="1" t="s">
        <v>1035</v>
      </c>
    </row>
    <row r="222" spans="1:2" x14ac:dyDescent="0.2">
      <c r="A222" s="3" t="s">
        <v>1036</v>
      </c>
    </row>
    <row r="225" spans="1:2" x14ac:dyDescent="0.2">
      <c r="A225" s="1" t="s">
        <v>1037</v>
      </c>
    </row>
    <row r="226" spans="1:2" x14ac:dyDescent="0.2">
      <c r="B226" s="1" t="s">
        <v>1038</v>
      </c>
    </row>
    <row r="227" spans="1:2" x14ac:dyDescent="0.2">
      <c r="B227" s="1" t="s">
        <v>1039</v>
      </c>
    </row>
    <row r="228" spans="1:2" x14ac:dyDescent="0.2">
      <c r="B228" s="1" t="s">
        <v>1040</v>
      </c>
    </row>
    <row r="229" spans="1:2" x14ac:dyDescent="0.2">
      <c r="B229" s="1" t="s">
        <v>1041</v>
      </c>
    </row>
    <row r="230" spans="1:2" x14ac:dyDescent="0.2">
      <c r="B230" s="1" t="s">
        <v>1042</v>
      </c>
    </row>
    <row r="232" spans="1:2" x14ac:dyDescent="0.2">
      <c r="A232" s="1" t="s">
        <v>1043</v>
      </c>
    </row>
    <row r="233" spans="1:2" x14ac:dyDescent="0.2">
      <c r="B233" s="1" t="s">
        <v>1044</v>
      </c>
    </row>
    <row r="234" spans="1:2" x14ac:dyDescent="0.2">
      <c r="B234" s="1" t="s">
        <v>1045</v>
      </c>
    </row>
    <row r="235" spans="1:2" x14ac:dyDescent="0.2">
      <c r="B235" s="1" t="s">
        <v>1046</v>
      </c>
    </row>
    <row r="237" spans="1:2" x14ac:dyDescent="0.2">
      <c r="A237" s="1" t="s">
        <v>1047</v>
      </c>
    </row>
    <row r="238" spans="1:2" x14ac:dyDescent="0.2">
      <c r="B238" s="1" t="s">
        <v>1048</v>
      </c>
    </row>
    <row r="239" spans="1:2" x14ac:dyDescent="0.2">
      <c r="B239" s="1" t="s">
        <v>1049</v>
      </c>
    </row>
    <row r="240" spans="1:2" x14ac:dyDescent="0.2">
      <c r="B240" s="1" t="s">
        <v>1050</v>
      </c>
    </row>
    <row r="241" spans="1:9" x14ac:dyDescent="0.2">
      <c r="B241" s="1" t="s">
        <v>1051</v>
      </c>
    </row>
    <row r="242" spans="1:9" x14ac:dyDescent="0.2">
      <c r="B242" s="1" t="s">
        <v>1052</v>
      </c>
    </row>
    <row r="243" spans="1:9" x14ac:dyDescent="0.2">
      <c r="B243" s="1" t="s">
        <v>1053</v>
      </c>
    </row>
    <row r="245" spans="1:9" x14ac:dyDescent="0.2">
      <c r="A245" s="3" t="s">
        <v>1401</v>
      </c>
    </row>
    <row r="246" spans="1:9" x14ac:dyDescent="0.2">
      <c r="A246" s="3" t="s">
        <v>1402</v>
      </c>
    </row>
    <row r="247" spans="1:9" x14ac:dyDescent="0.2">
      <c r="A247" s="3" t="s">
        <v>1403</v>
      </c>
    </row>
    <row r="248" spans="1:9" x14ac:dyDescent="0.2">
      <c r="A248" s="3"/>
      <c r="I248" s="107" t="s">
        <v>1407</v>
      </c>
    </row>
    <row r="249" spans="1:9" x14ac:dyDescent="0.2">
      <c r="A249" s="83" t="s">
        <v>1054</v>
      </c>
      <c r="B249" s="84"/>
      <c r="C249" s="84"/>
      <c r="D249" s="84"/>
      <c r="E249" s="84"/>
      <c r="F249" s="84"/>
      <c r="G249" s="84"/>
      <c r="H249" s="84"/>
      <c r="I249" s="107"/>
    </row>
    <row r="250" spans="1:9" x14ac:dyDescent="0.2">
      <c r="B250" s="1" t="s">
        <v>1055</v>
      </c>
      <c r="I250" s="107"/>
    </row>
    <row r="251" spans="1:9" x14ac:dyDescent="0.2">
      <c r="B251" s="1" t="s">
        <v>1056</v>
      </c>
      <c r="I251" s="107"/>
    </row>
    <row r="252" spans="1:9" x14ac:dyDescent="0.2">
      <c r="B252" s="1" t="s">
        <v>1057</v>
      </c>
      <c r="I252" s="107"/>
    </row>
    <row r="253" spans="1:9" x14ac:dyDescent="0.2">
      <c r="B253" s="1" t="s">
        <v>1058</v>
      </c>
      <c r="I253" s="107"/>
    </row>
    <row r="254" spans="1:9" x14ac:dyDescent="0.2">
      <c r="B254" s="1" t="s">
        <v>1059</v>
      </c>
      <c r="I254" s="107"/>
    </row>
    <row r="255" spans="1:9" x14ac:dyDescent="0.2">
      <c r="B255" s="1" t="s">
        <v>1060</v>
      </c>
      <c r="I255" s="107" t="s">
        <v>1404</v>
      </c>
    </row>
    <row r="256" spans="1:9" x14ac:dyDescent="0.2">
      <c r="I256" s="107" t="s">
        <v>1405</v>
      </c>
    </row>
    <row r="257" spans="1:9" x14ac:dyDescent="0.2">
      <c r="B257" s="21" t="s">
        <v>1408</v>
      </c>
      <c r="I257" s="107" t="s">
        <v>1406</v>
      </c>
    </row>
    <row r="259" spans="1:9" x14ac:dyDescent="0.2">
      <c r="A259" s="83" t="s">
        <v>1061</v>
      </c>
      <c r="B259" s="84"/>
      <c r="C259" s="84"/>
      <c r="D259" s="84"/>
      <c r="E259" s="84"/>
      <c r="F259" s="84"/>
      <c r="G259" s="84"/>
      <c r="H259" s="84"/>
    </row>
    <row r="260" spans="1:9" x14ac:dyDescent="0.2">
      <c r="B260" s="1" t="s">
        <v>1062</v>
      </c>
    </row>
    <row r="261" spans="1:9" x14ac:dyDescent="0.2">
      <c r="B261" s="1" t="s">
        <v>1063</v>
      </c>
    </row>
    <row r="262" spans="1:9" x14ac:dyDescent="0.2">
      <c r="B262" s="1" t="s">
        <v>1064</v>
      </c>
    </row>
    <row r="263" spans="1:9" x14ac:dyDescent="0.2">
      <c r="B263" s="1" t="s">
        <v>1409</v>
      </c>
    </row>
    <row r="266" spans="1:9" x14ac:dyDescent="0.2">
      <c r="A266" s="30" t="s">
        <v>1065</v>
      </c>
      <c r="B266" s="65"/>
      <c r="C266" s="65"/>
      <c r="D266" s="65"/>
      <c r="E266" s="65"/>
      <c r="F266" s="65"/>
      <c r="G266" s="65"/>
      <c r="H266" s="65"/>
    </row>
    <row r="267" spans="1:9" x14ac:dyDescent="0.2">
      <c r="A267" s="1" t="s">
        <v>1066</v>
      </c>
    </row>
    <row r="268" spans="1:9" x14ac:dyDescent="0.2">
      <c r="B268" s="1" t="s">
        <v>1067</v>
      </c>
    </row>
    <row r="269" spans="1:9" x14ac:dyDescent="0.2">
      <c r="B269" s="1" t="s">
        <v>1068</v>
      </c>
    </row>
    <row r="270" spans="1:9" x14ac:dyDescent="0.2">
      <c r="B270" s="1" t="s">
        <v>1069</v>
      </c>
    </row>
    <row r="271" spans="1:9" x14ac:dyDescent="0.2">
      <c r="B271" s="1" t="s">
        <v>1070</v>
      </c>
    </row>
    <row r="273" spans="1:8" x14ac:dyDescent="0.2">
      <c r="A273" s="1" t="s">
        <v>1071</v>
      </c>
    </row>
    <row r="274" spans="1:8" x14ac:dyDescent="0.2">
      <c r="B274" s="1" t="s">
        <v>1072</v>
      </c>
    </row>
    <row r="275" spans="1:8" x14ac:dyDescent="0.2">
      <c r="B275" s="1" t="s">
        <v>1073</v>
      </c>
    </row>
    <row r="276" spans="1:8" x14ac:dyDescent="0.2">
      <c r="B276" s="1" t="s">
        <v>1074</v>
      </c>
    </row>
    <row r="277" spans="1:8" x14ac:dyDescent="0.2">
      <c r="B277" s="1" t="s">
        <v>3024</v>
      </c>
    </row>
    <row r="278" spans="1:8" x14ac:dyDescent="0.2">
      <c r="B278" s="1" t="s">
        <v>1075</v>
      </c>
    </row>
    <row r="279" spans="1:8" x14ac:dyDescent="0.2">
      <c r="B279" s="1" t="s">
        <v>1076</v>
      </c>
    </row>
    <row r="280" spans="1:8" x14ac:dyDescent="0.2">
      <c r="B280" s="1" t="s">
        <v>1077</v>
      </c>
    </row>
    <row r="281" spans="1:8" x14ac:dyDescent="0.2">
      <c r="B281" s="1" t="s">
        <v>1078</v>
      </c>
    </row>
    <row r="282" spans="1:8" x14ac:dyDescent="0.2">
      <c r="B282" s="1" t="s">
        <v>1079</v>
      </c>
    </row>
    <row r="284" spans="1:8" x14ac:dyDescent="0.2">
      <c r="A284" s="30" t="s">
        <v>3025</v>
      </c>
      <c r="B284" s="65"/>
      <c r="C284" s="65"/>
      <c r="D284" s="65"/>
      <c r="E284" s="65"/>
      <c r="F284" s="65"/>
      <c r="G284" s="65"/>
      <c r="H284" s="65"/>
    </row>
    <row r="286" spans="1:8" x14ac:dyDescent="0.2">
      <c r="A286" s="1" t="s">
        <v>1080</v>
      </c>
    </row>
    <row r="287" spans="1:8" x14ac:dyDescent="0.2">
      <c r="B287" s="1" t="s">
        <v>1081</v>
      </c>
    </row>
    <row r="288" spans="1:8" x14ac:dyDescent="0.2">
      <c r="B288" s="1" t="s">
        <v>1082</v>
      </c>
    </row>
    <row r="289" spans="1:2" x14ac:dyDescent="0.2">
      <c r="B289" s="1" t="s">
        <v>1083</v>
      </c>
    </row>
    <row r="290" spans="1:2" x14ac:dyDescent="0.2">
      <c r="B290" s="1" t="s">
        <v>1084</v>
      </c>
    </row>
    <row r="291" spans="1:2" x14ac:dyDescent="0.2">
      <c r="B291" s="1" t="s">
        <v>1085</v>
      </c>
    </row>
    <row r="292" spans="1:2" x14ac:dyDescent="0.2">
      <c r="B292" s="1" t="s">
        <v>1086</v>
      </c>
    </row>
    <row r="293" spans="1:2" x14ac:dyDescent="0.2">
      <c r="B293" s="1" t="s">
        <v>1087</v>
      </c>
    </row>
    <row r="294" spans="1:2" x14ac:dyDescent="0.2">
      <c r="B294" s="1" t="s">
        <v>1088</v>
      </c>
    </row>
    <row r="295" spans="1:2" x14ac:dyDescent="0.2">
      <c r="B295" s="1" t="s">
        <v>1089</v>
      </c>
    </row>
    <row r="296" spans="1:2" x14ac:dyDescent="0.2">
      <c r="B296" s="1" t="s">
        <v>1090</v>
      </c>
    </row>
    <row r="298" spans="1:2" x14ac:dyDescent="0.2">
      <c r="A298" s="1" t="s">
        <v>1091</v>
      </c>
    </row>
    <row r="299" spans="1:2" x14ac:dyDescent="0.2">
      <c r="B299" s="1" t="s">
        <v>1092</v>
      </c>
    </row>
    <row r="300" spans="1:2" x14ac:dyDescent="0.2">
      <c r="B300" s="1" t="s">
        <v>1093</v>
      </c>
    </row>
    <row r="301" spans="1:2" x14ac:dyDescent="0.2">
      <c r="B301" s="1" t="s">
        <v>1094</v>
      </c>
    </row>
    <row r="302" spans="1:2" x14ac:dyDescent="0.2">
      <c r="B302" s="1" t="s">
        <v>1095</v>
      </c>
    </row>
    <row r="303" spans="1:2" x14ac:dyDescent="0.2">
      <c r="B303" s="1" t="s">
        <v>1096</v>
      </c>
    </row>
    <row r="304" spans="1:2" x14ac:dyDescent="0.2">
      <c r="B304" s="1" t="s">
        <v>1097</v>
      </c>
    </row>
    <row r="305" spans="1:2" x14ac:dyDescent="0.2">
      <c r="B305" s="1" t="s">
        <v>1098</v>
      </c>
    </row>
    <row r="307" spans="1:2" x14ac:dyDescent="0.2">
      <c r="A307" s="68" t="s">
        <v>1099</v>
      </c>
    </row>
    <row r="308" spans="1:2" x14ac:dyDescent="0.2">
      <c r="A308" s="68" t="s">
        <v>1100</v>
      </c>
    </row>
    <row r="309" spans="1:2" x14ac:dyDescent="0.2">
      <c r="A309" s="68" t="s">
        <v>1101</v>
      </c>
    </row>
    <row r="311" spans="1:2" x14ac:dyDescent="0.2">
      <c r="A311" s="1" t="s">
        <v>1102</v>
      </c>
    </row>
    <row r="312" spans="1:2" x14ac:dyDescent="0.2">
      <c r="B312" s="1" t="s">
        <v>1103</v>
      </c>
    </row>
    <row r="313" spans="1:2" x14ac:dyDescent="0.2">
      <c r="B313" s="1" t="s">
        <v>1104</v>
      </c>
    </row>
    <row r="314" spans="1:2" x14ac:dyDescent="0.2">
      <c r="B314" s="1" t="s">
        <v>1105</v>
      </c>
    </row>
    <row r="315" spans="1:2" x14ac:dyDescent="0.2">
      <c r="B315" s="1" t="s">
        <v>1106</v>
      </c>
    </row>
    <row r="316" spans="1:2" x14ac:dyDescent="0.2">
      <c r="B316" s="1" t="s">
        <v>1107</v>
      </c>
    </row>
    <row r="317" spans="1:2" x14ac:dyDescent="0.2">
      <c r="B317" s="1" t="s">
        <v>1108</v>
      </c>
    </row>
    <row r="318" spans="1:2" x14ac:dyDescent="0.2">
      <c r="B318" s="1" t="s">
        <v>1109</v>
      </c>
    </row>
    <row r="319" spans="1:2" x14ac:dyDescent="0.2">
      <c r="B319" s="1" t="s">
        <v>1110</v>
      </c>
    </row>
    <row r="320" spans="1:2" x14ac:dyDescent="0.2">
      <c r="B320" s="1" t="s">
        <v>1111</v>
      </c>
    </row>
    <row r="321" spans="1:8" x14ac:dyDescent="0.2">
      <c r="B321" s="1" t="s">
        <v>1112</v>
      </c>
    </row>
    <row r="322" spans="1:8" x14ac:dyDescent="0.2">
      <c r="B322" s="1" t="s">
        <v>1113</v>
      </c>
    </row>
    <row r="323" spans="1:8" x14ac:dyDescent="0.2">
      <c r="B323" s="1" t="s">
        <v>1114</v>
      </c>
    </row>
    <row r="325" spans="1:8" x14ac:dyDescent="0.2">
      <c r="A325" s="1" t="s">
        <v>1115</v>
      </c>
    </row>
    <row r="326" spans="1:8" x14ac:dyDescent="0.2">
      <c r="B326" s="1" t="s">
        <v>1116</v>
      </c>
    </row>
    <row r="327" spans="1:8" x14ac:dyDescent="0.2">
      <c r="B327" s="1" t="s">
        <v>1117</v>
      </c>
    </row>
    <row r="328" spans="1:8" x14ac:dyDescent="0.2">
      <c r="B328" s="1" t="s">
        <v>1118</v>
      </c>
    </row>
    <row r="329" spans="1:8" x14ac:dyDescent="0.2">
      <c r="B329" s="1" t="s">
        <v>1119</v>
      </c>
    </row>
    <row r="331" spans="1:8" x14ac:dyDescent="0.2">
      <c r="A331" s="30" t="s">
        <v>1120</v>
      </c>
      <c r="B331" s="65"/>
      <c r="C331" s="65"/>
      <c r="D331" s="65"/>
      <c r="E331" s="65"/>
      <c r="F331" s="65"/>
      <c r="G331" s="65"/>
      <c r="H331" s="65"/>
    </row>
    <row r="333" spans="1:8" x14ac:dyDescent="0.2">
      <c r="A333" s="1" t="s">
        <v>1121</v>
      </c>
    </row>
    <row r="334" spans="1:8" x14ac:dyDescent="0.2">
      <c r="B334" s="1" t="s">
        <v>1122</v>
      </c>
    </row>
    <row r="335" spans="1:8" x14ac:dyDescent="0.2">
      <c r="B335" s="1" t="s">
        <v>1123</v>
      </c>
    </row>
    <row r="336" spans="1:8" x14ac:dyDescent="0.2">
      <c r="B336" s="1" t="s">
        <v>1124</v>
      </c>
    </row>
    <row r="337" spans="1:2" x14ac:dyDescent="0.2">
      <c r="B337" s="1" t="s">
        <v>1125</v>
      </c>
    </row>
    <row r="338" spans="1:2" x14ac:dyDescent="0.2">
      <c r="B338" s="1" t="s">
        <v>1126</v>
      </c>
    </row>
    <row r="340" spans="1:2" x14ac:dyDescent="0.2">
      <c r="A340" s="68" t="s">
        <v>1127</v>
      </c>
    </row>
    <row r="341" spans="1:2" x14ac:dyDescent="0.2">
      <c r="A341" s="68" t="s">
        <v>1128</v>
      </c>
    </row>
    <row r="343" spans="1:2" x14ac:dyDescent="0.2">
      <c r="A343" s="1" t="s">
        <v>1129</v>
      </c>
    </row>
    <row r="344" spans="1:2" x14ac:dyDescent="0.2">
      <c r="B344" s="1" t="s">
        <v>1130</v>
      </c>
    </row>
    <row r="345" spans="1:2" x14ac:dyDescent="0.2">
      <c r="B345" s="1" t="s">
        <v>1131</v>
      </c>
    </row>
    <row r="347" spans="1:2" x14ac:dyDescent="0.2">
      <c r="A347" s="1" t="s">
        <v>1132</v>
      </c>
    </row>
    <row r="348" spans="1:2" x14ac:dyDescent="0.2">
      <c r="B348" s="1" t="s">
        <v>1133</v>
      </c>
    </row>
    <row r="349" spans="1:2" x14ac:dyDescent="0.2">
      <c r="B349" s="1" t="s">
        <v>1134</v>
      </c>
    </row>
    <row r="350" spans="1:2" x14ac:dyDescent="0.2">
      <c r="B350" s="1" t="s">
        <v>1135</v>
      </c>
    </row>
    <row r="351" spans="1:2" x14ac:dyDescent="0.2">
      <c r="B351" s="1" t="s">
        <v>1136</v>
      </c>
    </row>
    <row r="352" spans="1:2" x14ac:dyDescent="0.2">
      <c r="B352" s="1" t="s">
        <v>1137</v>
      </c>
    </row>
    <row r="354" spans="1:8" x14ac:dyDescent="0.2">
      <c r="A354" s="1" t="s">
        <v>1138</v>
      </c>
    </row>
    <row r="355" spans="1:8" x14ac:dyDescent="0.2">
      <c r="B355" s="1" t="s">
        <v>1139</v>
      </c>
    </row>
    <row r="356" spans="1:8" x14ac:dyDescent="0.2">
      <c r="B356" s="1" t="s">
        <v>1140</v>
      </c>
    </row>
    <row r="357" spans="1:8" x14ac:dyDescent="0.2">
      <c r="B357" s="1" t="s">
        <v>1141</v>
      </c>
    </row>
    <row r="359" spans="1:8" x14ac:dyDescent="0.2">
      <c r="A359" s="68" t="s">
        <v>1142</v>
      </c>
    </row>
    <row r="360" spans="1:8" x14ac:dyDescent="0.2">
      <c r="A360" s="68" t="s">
        <v>1143</v>
      </c>
    </row>
    <row r="361" spans="1:8" x14ac:dyDescent="0.2">
      <c r="A361" s="68" t="s">
        <v>1144</v>
      </c>
    </row>
    <row r="362" spans="1:8" x14ac:dyDescent="0.2">
      <c r="A362" s="68" t="s">
        <v>1145</v>
      </c>
    </row>
    <row r="364" spans="1:8" x14ac:dyDescent="0.2">
      <c r="A364" s="30" t="s">
        <v>1146</v>
      </c>
      <c r="B364" s="65"/>
      <c r="C364" s="65"/>
      <c r="D364" s="65"/>
      <c r="E364" s="65"/>
      <c r="F364" s="65"/>
      <c r="G364" s="65"/>
      <c r="H364" s="65"/>
    </row>
    <row r="366" spans="1:8" x14ac:dyDescent="0.2">
      <c r="A366" s="1" t="s">
        <v>1147</v>
      </c>
    </row>
    <row r="367" spans="1:8" x14ac:dyDescent="0.2">
      <c r="B367" s="1" t="s">
        <v>1148</v>
      </c>
    </row>
    <row r="368" spans="1:8" x14ac:dyDescent="0.2">
      <c r="B368" s="1" t="s">
        <v>1149</v>
      </c>
    </row>
    <row r="369" spans="1:2" x14ac:dyDescent="0.2">
      <c r="B369" s="1" t="s">
        <v>1150</v>
      </c>
    </row>
    <row r="370" spans="1:2" x14ac:dyDescent="0.2">
      <c r="B370" s="1" t="s">
        <v>1151</v>
      </c>
    </row>
    <row r="371" spans="1:2" x14ac:dyDescent="0.2">
      <c r="B371" s="1" t="s">
        <v>1152</v>
      </c>
    </row>
    <row r="372" spans="1:2" x14ac:dyDescent="0.2">
      <c r="B372" s="1" t="s">
        <v>1153</v>
      </c>
    </row>
    <row r="374" spans="1:2" x14ac:dyDescent="0.2">
      <c r="A374" s="1" t="s">
        <v>1154</v>
      </c>
    </row>
    <row r="375" spans="1:2" x14ac:dyDescent="0.2">
      <c r="B375" s="1" t="s">
        <v>1155</v>
      </c>
    </row>
    <row r="376" spans="1:2" x14ac:dyDescent="0.2">
      <c r="B376" s="1" t="s">
        <v>1156</v>
      </c>
    </row>
    <row r="378" spans="1:2" x14ac:dyDescent="0.2">
      <c r="A378" s="1" t="s">
        <v>1157</v>
      </c>
    </row>
    <row r="379" spans="1:2" x14ac:dyDescent="0.2">
      <c r="B379" s="1" t="s">
        <v>1158</v>
      </c>
    </row>
    <row r="380" spans="1:2" x14ac:dyDescent="0.2">
      <c r="B380" s="1" t="s">
        <v>1159</v>
      </c>
    </row>
    <row r="381" spans="1:2" x14ac:dyDescent="0.2">
      <c r="B381" s="1" t="s">
        <v>1160</v>
      </c>
    </row>
    <row r="382" spans="1:2" x14ac:dyDescent="0.2">
      <c r="B382" s="1" t="s">
        <v>1161</v>
      </c>
    </row>
    <row r="383" spans="1:2" x14ac:dyDescent="0.2">
      <c r="B383" s="1" t="s">
        <v>1162</v>
      </c>
    </row>
    <row r="385" spans="1:16" x14ac:dyDescent="0.2">
      <c r="A385" s="83" t="s">
        <v>1171</v>
      </c>
      <c r="B385" s="84"/>
      <c r="C385" s="84"/>
      <c r="D385" s="84"/>
      <c r="E385" s="84"/>
      <c r="F385" s="84"/>
      <c r="G385" s="84"/>
      <c r="H385" s="84"/>
    </row>
    <row r="386" spans="1:16" x14ac:dyDescent="0.2">
      <c r="A386" s="1" t="s">
        <v>1172</v>
      </c>
    </row>
    <row r="387" spans="1:16" x14ac:dyDescent="0.2">
      <c r="A387" s="1" t="s">
        <v>1173</v>
      </c>
      <c r="I387" s="112"/>
      <c r="J387" s="112"/>
      <c r="K387" s="112"/>
      <c r="L387" s="112"/>
      <c r="M387" s="112"/>
      <c r="N387" s="112"/>
      <c r="O387" s="112"/>
      <c r="P387" s="112"/>
    </row>
    <row r="388" spans="1:16" x14ac:dyDescent="0.2">
      <c r="A388" s="1" t="s">
        <v>1174</v>
      </c>
    </row>
    <row r="389" spans="1:16" x14ac:dyDescent="0.2">
      <c r="A389" s="1" t="s">
        <v>1175</v>
      </c>
      <c r="G389"/>
    </row>
    <row r="390" spans="1:16" x14ac:dyDescent="0.2">
      <c r="A390" s="1" t="s">
        <v>1176</v>
      </c>
    </row>
    <row r="391" spans="1:16" x14ac:dyDescent="0.2">
      <c r="A391" s="1" t="s">
        <v>1177</v>
      </c>
    </row>
    <row r="393" spans="1:16" x14ac:dyDescent="0.2">
      <c r="A393" s="1" t="s">
        <v>1178</v>
      </c>
    </row>
    <row r="394" spans="1:16" x14ac:dyDescent="0.2">
      <c r="A394" s="1" t="s">
        <v>1179</v>
      </c>
    </row>
    <row r="395" spans="1:16" x14ac:dyDescent="0.2">
      <c r="A395" s="1" t="s">
        <v>1180</v>
      </c>
    </row>
    <row r="396" spans="1:16" ht="17" thickBot="1" x14ac:dyDescent="0.25">
      <c r="A396" s="1" t="s">
        <v>1181</v>
      </c>
    </row>
    <row r="397" spans="1:16" x14ac:dyDescent="0.2">
      <c r="A397" s="1" t="s">
        <v>1182</v>
      </c>
      <c r="I397" s="46"/>
      <c r="J397" s="233"/>
      <c r="K397" s="33"/>
    </row>
    <row r="398" spans="1:16" x14ac:dyDescent="0.2">
      <c r="I398" s="34"/>
      <c r="J398" s="232"/>
      <c r="K398" s="35"/>
    </row>
    <row r="399" spans="1:16" x14ac:dyDescent="0.2">
      <c r="A399" s="1" t="s">
        <v>1183</v>
      </c>
      <c r="I399" s="34"/>
      <c r="J399" s="232"/>
      <c r="K399" s="35"/>
      <c r="L399" s="3"/>
    </row>
    <row r="400" spans="1:16" x14ac:dyDescent="0.2">
      <c r="I400" s="34"/>
      <c r="J400" s="232"/>
      <c r="K400" s="35"/>
    </row>
    <row r="401" spans="1:11" x14ac:dyDescent="0.2">
      <c r="A401" s="10" t="s">
        <v>86</v>
      </c>
      <c r="B401" s="10" t="s">
        <v>168</v>
      </c>
      <c r="I401" s="34"/>
      <c r="J401" s="232"/>
      <c r="K401" s="35"/>
    </row>
    <row r="402" spans="1:11" x14ac:dyDescent="0.2">
      <c r="A402" s="2">
        <v>41274</v>
      </c>
      <c r="B402" s="11">
        <v>195000</v>
      </c>
      <c r="I402" s="34"/>
      <c r="J402" s="232"/>
      <c r="K402" s="35"/>
    </row>
    <row r="403" spans="1:11" ht="17" thickBot="1" x14ac:dyDescent="0.25">
      <c r="A403" s="2">
        <v>41639</v>
      </c>
      <c r="B403" s="11">
        <v>140000</v>
      </c>
      <c r="I403" s="36"/>
      <c r="J403" s="234"/>
      <c r="K403" s="38"/>
    </row>
    <row r="404" spans="1:11" x14ac:dyDescent="0.2">
      <c r="A404" s="2">
        <v>42004</v>
      </c>
      <c r="B404" s="11">
        <v>155000</v>
      </c>
    </row>
    <row r="406" spans="1:11" x14ac:dyDescent="0.2">
      <c r="A406" s="1" t="s">
        <v>1184</v>
      </c>
    </row>
    <row r="407" spans="1:11" x14ac:dyDescent="0.2">
      <c r="A407" s="1" t="s">
        <v>1185</v>
      </c>
    </row>
    <row r="408" spans="1:11" x14ac:dyDescent="0.2">
      <c r="A408" s="1" t="s">
        <v>1186</v>
      </c>
    </row>
    <row r="409" spans="1:11" x14ac:dyDescent="0.2">
      <c r="A409" s="1" t="s">
        <v>1187</v>
      </c>
      <c r="I409" s="3"/>
    </row>
    <row r="410" spans="1:11" x14ac:dyDescent="0.2">
      <c r="A410" s="1" t="s">
        <v>3496</v>
      </c>
    </row>
    <row r="411" spans="1:11" x14ac:dyDescent="0.2">
      <c r="A411" s="1" t="s">
        <v>1188</v>
      </c>
      <c r="I411" s="8"/>
    </row>
    <row r="412" spans="1:11" x14ac:dyDescent="0.2">
      <c r="K412" s="11"/>
    </row>
    <row r="413" spans="1:11" x14ac:dyDescent="0.2">
      <c r="A413" s="1" t="s">
        <v>1189</v>
      </c>
      <c r="K413" s="11"/>
    </row>
    <row r="415" spans="1:11" x14ac:dyDescent="0.2">
      <c r="A415" s="83" t="s">
        <v>1190</v>
      </c>
      <c r="B415" s="84"/>
      <c r="C415" s="84"/>
      <c r="D415" s="84"/>
      <c r="E415" s="84"/>
      <c r="F415" s="84"/>
      <c r="G415" s="84"/>
      <c r="H415" s="84"/>
    </row>
    <row r="416" spans="1:11" x14ac:dyDescent="0.2">
      <c r="A416" s="1" t="s">
        <v>1191</v>
      </c>
    </row>
    <row r="417" spans="1:15" x14ac:dyDescent="0.2">
      <c r="A417" s="1" t="s">
        <v>1192</v>
      </c>
    </row>
    <row r="418" spans="1:15" x14ac:dyDescent="0.2">
      <c r="A418" s="1" t="s">
        <v>1193</v>
      </c>
      <c r="I418" s="8"/>
    </row>
    <row r="419" spans="1:15" x14ac:dyDescent="0.2">
      <c r="L419" s="11"/>
    </row>
    <row r="420" spans="1:15" x14ac:dyDescent="0.2">
      <c r="A420" s="1" t="s">
        <v>1194</v>
      </c>
      <c r="L420" s="11"/>
    </row>
    <row r="421" spans="1:15" x14ac:dyDescent="0.2">
      <c r="A421" s="1" t="s">
        <v>1195</v>
      </c>
      <c r="L421" s="11"/>
    </row>
    <row r="422" spans="1:15" x14ac:dyDescent="0.2">
      <c r="A422" s="1" t="s">
        <v>1196</v>
      </c>
    </row>
    <row r="424" spans="1:15" x14ac:dyDescent="0.2">
      <c r="A424" s="1" t="s">
        <v>1197</v>
      </c>
    </row>
    <row r="425" spans="1:15" x14ac:dyDescent="0.2">
      <c r="A425" s="1" t="s">
        <v>1198</v>
      </c>
    </row>
    <row r="426" spans="1:15" x14ac:dyDescent="0.2">
      <c r="A426" s="1" t="s">
        <v>1199</v>
      </c>
      <c r="L426" s="11"/>
      <c r="O426" s="11"/>
    </row>
    <row r="427" spans="1:15" x14ac:dyDescent="0.2">
      <c r="L427" s="11"/>
      <c r="O427" s="11"/>
    </row>
    <row r="428" spans="1:15" x14ac:dyDescent="0.2">
      <c r="A428" s="1" t="s">
        <v>1200</v>
      </c>
    </row>
    <row r="429" spans="1:15" x14ac:dyDescent="0.2">
      <c r="A429" s="1" t="s">
        <v>1201</v>
      </c>
      <c r="I429" s="8"/>
    </row>
    <row r="430" spans="1:15" x14ac:dyDescent="0.2">
      <c r="A430" s="1" t="s">
        <v>1202</v>
      </c>
    </row>
    <row r="432" spans="1:15" x14ac:dyDescent="0.2">
      <c r="A432" s="3" t="s">
        <v>1203</v>
      </c>
    </row>
    <row r="433" spans="1:16" x14ac:dyDescent="0.2">
      <c r="A433" s="3"/>
      <c r="D433" s="1" t="s">
        <v>3112</v>
      </c>
      <c r="E433" s="1" t="s">
        <v>3112</v>
      </c>
      <c r="F433" s="1" t="s">
        <v>3112</v>
      </c>
      <c r="G433" s="7" t="s">
        <v>3113</v>
      </c>
    </row>
    <row r="434" spans="1:16" s="62" customFormat="1" x14ac:dyDescent="0.2">
      <c r="D434" s="128">
        <v>41274</v>
      </c>
      <c r="E434" s="128">
        <v>41639</v>
      </c>
      <c r="F434" s="128">
        <v>42004</v>
      </c>
      <c r="G434" s="128">
        <v>42369</v>
      </c>
      <c r="I434" s="1"/>
      <c r="J434" s="1"/>
      <c r="K434" s="1"/>
      <c r="L434" s="1"/>
      <c r="M434" s="1"/>
      <c r="N434" s="1"/>
      <c r="O434" s="1"/>
      <c r="P434" s="1"/>
    </row>
    <row r="435" spans="1:16" s="62" customFormat="1" x14ac:dyDescent="0.2">
      <c r="B435" s="62" t="s">
        <v>1204</v>
      </c>
      <c r="D435" s="125">
        <v>195000</v>
      </c>
      <c r="E435" s="125">
        <f>D594-D615</f>
        <v>161499.68421052632</v>
      </c>
      <c r="F435" s="125">
        <f>E677</f>
        <v>155000</v>
      </c>
      <c r="G435" s="125">
        <f>F435-D802</f>
        <v>150222.16838335595</v>
      </c>
      <c r="I435" s="1"/>
      <c r="J435" s="1"/>
      <c r="K435" s="1"/>
      <c r="L435" s="1"/>
      <c r="M435" s="1"/>
      <c r="N435" s="1"/>
      <c r="O435" s="1"/>
      <c r="P435" s="1"/>
    </row>
    <row r="436" spans="1:16" s="62" customFormat="1" x14ac:dyDescent="0.2">
      <c r="B436" s="62" t="s">
        <v>691</v>
      </c>
      <c r="D436" s="122">
        <v>0</v>
      </c>
      <c r="E436" s="122">
        <v>0</v>
      </c>
      <c r="F436" s="122">
        <v>0</v>
      </c>
      <c r="G436" s="127">
        <f>-D715</f>
        <v>-20666.666666666668</v>
      </c>
      <c r="I436" s="1"/>
      <c r="J436" s="1"/>
      <c r="K436" s="1"/>
      <c r="L436" s="60"/>
      <c r="P436" s="1"/>
    </row>
    <row r="437" spans="1:16" s="62" customFormat="1" x14ac:dyDescent="0.2">
      <c r="B437" s="62" t="s">
        <v>1205</v>
      </c>
      <c r="D437" s="122">
        <v>0</v>
      </c>
      <c r="E437" s="127">
        <f>-E608</f>
        <v>-21499.68421052632</v>
      </c>
      <c r="F437" s="127">
        <v>0</v>
      </c>
      <c r="G437" s="127">
        <v>0</v>
      </c>
      <c r="I437" s="1"/>
      <c r="J437" s="1"/>
      <c r="K437" s="1"/>
      <c r="L437" s="60"/>
      <c r="P437" s="1"/>
    </row>
    <row r="438" spans="1:16" s="62" customFormat="1" x14ac:dyDescent="0.2">
      <c r="B438" s="62" t="s">
        <v>120</v>
      </c>
      <c r="D438" s="126">
        <f>D435</f>
        <v>195000</v>
      </c>
      <c r="E438" s="126">
        <v>140000</v>
      </c>
      <c r="F438" s="126">
        <f>F435</f>
        <v>155000</v>
      </c>
      <c r="G438" s="126">
        <f>G435+G436</f>
        <v>129555.50171668928</v>
      </c>
      <c r="I438" s="1"/>
      <c r="J438" s="1"/>
      <c r="K438" s="1"/>
      <c r="L438" s="60"/>
      <c r="P438" s="1"/>
    </row>
    <row r="439" spans="1:16" s="62" customFormat="1" x14ac:dyDescent="0.2">
      <c r="D439" s="122"/>
      <c r="I439" s="1"/>
      <c r="J439" s="1"/>
      <c r="K439" s="1"/>
      <c r="L439" s="60"/>
      <c r="P439" s="1"/>
    </row>
    <row r="440" spans="1:16" s="62" customFormat="1" x14ac:dyDescent="0.2">
      <c r="B440" s="62" t="s">
        <v>1206</v>
      </c>
      <c r="D440" s="125">
        <v>9500</v>
      </c>
      <c r="E440" s="125">
        <f>D587</f>
        <v>20526.315789473683</v>
      </c>
      <c r="F440" s="125">
        <f>D640</f>
        <v>16470.588235294119</v>
      </c>
      <c r="G440" s="125">
        <f>D715</f>
        <v>20666.666666666668</v>
      </c>
      <c r="I440" s="1"/>
      <c r="J440" s="1"/>
      <c r="K440" s="1"/>
      <c r="L440" s="60"/>
      <c r="P440" s="1"/>
    </row>
    <row r="441" spans="1:16" s="62" customFormat="1" x14ac:dyDescent="0.2">
      <c r="B441" s="62" t="s">
        <v>312</v>
      </c>
      <c r="D441" s="122">
        <v>0</v>
      </c>
      <c r="E441" s="122">
        <v>0</v>
      </c>
      <c r="F441" s="125">
        <f>D688</f>
        <v>18970.588235294119</v>
      </c>
      <c r="G441" s="125">
        <v>0</v>
      </c>
      <c r="I441" s="1"/>
      <c r="J441" s="1"/>
      <c r="K441" s="1"/>
      <c r="L441" s="1"/>
      <c r="M441" s="1"/>
      <c r="N441" s="1"/>
      <c r="O441" s="1"/>
      <c r="P441" s="1"/>
    </row>
    <row r="442" spans="1:16" s="62" customFormat="1" x14ac:dyDescent="0.2">
      <c r="B442" s="62" t="s">
        <v>318</v>
      </c>
      <c r="D442" s="122">
        <v>0</v>
      </c>
      <c r="E442" s="127">
        <f>E608</f>
        <v>21499.68421052632</v>
      </c>
      <c r="F442" s="127">
        <f>F608</f>
        <v>0</v>
      </c>
      <c r="G442" s="127">
        <v>0</v>
      </c>
      <c r="I442" s="8"/>
      <c r="J442" s="1"/>
      <c r="K442" s="1"/>
      <c r="L442" s="1"/>
      <c r="M442" s="1"/>
      <c r="N442" s="1"/>
      <c r="O442" s="1"/>
      <c r="P442" s="1"/>
    </row>
    <row r="443" spans="1:16" s="62" customFormat="1" x14ac:dyDescent="0.2">
      <c r="D443" s="122"/>
      <c r="I443" s="1"/>
      <c r="J443" s="1"/>
      <c r="K443" s="1"/>
      <c r="L443" s="1"/>
      <c r="M443" s="1"/>
      <c r="N443" s="1"/>
      <c r="O443" s="1"/>
      <c r="P443" s="1"/>
    </row>
    <row r="444" spans="1:16" s="62" customFormat="1" x14ac:dyDescent="0.2">
      <c r="B444" s="62" t="s">
        <v>3040</v>
      </c>
      <c r="D444" s="125">
        <v>14500</v>
      </c>
      <c r="E444" s="127">
        <f>-D444</f>
        <v>-14500</v>
      </c>
      <c r="F444" s="127">
        <f>H688</f>
        <v>12500.315789473687</v>
      </c>
      <c r="G444" s="127">
        <f>-D723-C774</f>
        <v>-6444.4982833107015</v>
      </c>
      <c r="I444" s="1"/>
      <c r="J444" s="1"/>
      <c r="K444" s="1"/>
      <c r="L444" s="1"/>
      <c r="M444" s="1"/>
      <c r="N444" s="1"/>
      <c r="O444" s="1"/>
      <c r="P444" s="1"/>
    </row>
    <row r="445" spans="1:16" s="62" customFormat="1" x14ac:dyDescent="0.2">
      <c r="B445" s="62" t="s">
        <v>3041</v>
      </c>
      <c r="D445" s="125">
        <f>D444</f>
        <v>14500</v>
      </c>
      <c r="E445" s="122">
        <v>0</v>
      </c>
      <c r="F445" s="127">
        <f>F444</f>
        <v>12500.315789473687</v>
      </c>
      <c r="G445" s="127">
        <f>F445+G444</f>
        <v>6055.8175061629854</v>
      </c>
      <c r="I445" s="1"/>
      <c r="J445" s="1"/>
      <c r="K445" s="1"/>
      <c r="L445" s="1"/>
      <c r="M445" s="1"/>
      <c r="N445" s="1"/>
      <c r="O445" s="1"/>
      <c r="P445" s="1"/>
    </row>
    <row r="447" spans="1:16" x14ac:dyDescent="0.2">
      <c r="A447" s="112" t="s">
        <v>1207</v>
      </c>
      <c r="B447" s="112"/>
      <c r="C447" s="112"/>
      <c r="D447" s="112"/>
      <c r="E447" s="112"/>
      <c r="F447" s="112"/>
      <c r="G447" s="112"/>
      <c r="H447" s="112"/>
    </row>
    <row r="448" spans="1:16" x14ac:dyDescent="0.2">
      <c r="A448" s="1" t="s">
        <v>1208</v>
      </c>
    </row>
    <row r="449" spans="1:12" x14ac:dyDescent="0.2">
      <c r="A449" s="1" t="s">
        <v>1209</v>
      </c>
    </row>
    <row r="450" spans="1:12" x14ac:dyDescent="0.2">
      <c r="A450" s="1" t="s">
        <v>1210</v>
      </c>
      <c r="L450" s="11"/>
    </row>
    <row r="452" spans="1:12" x14ac:dyDescent="0.2">
      <c r="A452" s="1" t="s">
        <v>1211</v>
      </c>
    </row>
    <row r="453" spans="1:12" x14ac:dyDescent="0.2">
      <c r="K453" s="7"/>
      <c r="L453" s="122"/>
    </row>
    <row r="454" spans="1:12" x14ac:dyDescent="0.2">
      <c r="K454" s="41"/>
      <c r="L454" s="123"/>
    </row>
    <row r="455" spans="1:12" x14ac:dyDescent="0.2">
      <c r="K455" s="42"/>
      <c r="L455" s="125"/>
    </row>
    <row r="456" spans="1:12" ht="17" thickBot="1" x14ac:dyDescent="0.25">
      <c r="K456" s="109"/>
      <c r="L456" s="122"/>
    </row>
    <row r="457" spans="1:12" x14ac:dyDescent="0.2">
      <c r="A457" s="46"/>
      <c r="B457" s="233" t="s">
        <v>1212</v>
      </c>
      <c r="C457" s="33"/>
      <c r="D457" s="1" t="s">
        <v>1213</v>
      </c>
      <c r="K457" s="110"/>
      <c r="L457" s="124"/>
    </row>
    <row r="458" spans="1:12" ht="17" thickBot="1" x14ac:dyDescent="0.25">
      <c r="A458" s="34"/>
      <c r="B458" s="232" t="s">
        <v>1214</v>
      </c>
      <c r="C458" s="35"/>
      <c r="D458" s="1" t="s">
        <v>1215</v>
      </c>
    </row>
    <row r="459" spans="1:12" x14ac:dyDescent="0.2">
      <c r="A459" s="34" t="s">
        <v>3027</v>
      </c>
      <c r="B459" s="232" t="s">
        <v>1216</v>
      </c>
      <c r="C459" s="35"/>
      <c r="D459" s="3" t="s">
        <v>1217</v>
      </c>
      <c r="J459" s="46"/>
      <c r="K459" s="32"/>
      <c r="L459" s="113"/>
    </row>
    <row r="460" spans="1:12" ht="17" thickBot="1" x14ac:dyDescent="0.25">
      <c r="A460" s="34" t="s">
        <v>3028</v>
      </c>
      <c r="B460" s="232" t="s">
        <v>1218</v>
      </c>
      <c r="C460" s="35"/>
      <c r="D460" s="1" t="s">
        <v>1219</v>
      </c>
      <c r="J460" s="36"/>
      <c r="K460" s="37"/>
      <c r="L460" s="114"/>
    </row>
    <row r="461" spans="1:12" x14ac:dyDescent="0.2">
      <c r="A461" s="34"/>
      <c r="B461" s="232" t="s">
        <v>1220</v>
      </c>
      <c r="C461" s="35"/>
      <c r="D461" s="1" t="s">
        <v>3026</v>
      </c>
    </row>
    <row r="462" spans="1:12" x14ac:dyDescent="0.2">
      <c r="A462" s="34"/>
      <c r="B462" s="232" t="s">
        <v>1221</v>
      </c>
      <c r="C462" s="35"/>
      <c r="I462" s="8"/>
    </row>
    <row r="463" spans="1:12" ht="17" thickBot="1" x14ac:dyDescent="0.25">
      <c r="A463" s="36"/>
      <c r="B463" s="234" t="s">
        <v>3029</v>
      </c>
      <c r="C463" s="38"/>
    </row>
    <row r="465" spans="1:12" x14ac:dyDescent="0.2">
      <c r="A465" s="1" t="s">
        <v>1222</v>
      </c>
    </row>
    <row r="466" spans="1:12" x14ac:dyDescent="0.2">
      <c r="A466" s="1" t="s">
        <v>1223</v>
      </c>
      <c r="K466" s="41"/>
    </row>
    <row r="467" spans="1:12" x14ac:dyDescent="0.2">
      <c r="A467" s="1" t="s">
        <v>1224</v>
      </c>
      <c r="K467" s="42"/>
    </row>
    <row r="468" spans="1:12" x14ac:dyDescent="0.2">
      <c r="A468" s="1" t="s">
        <v>1225</v>
      </c>
      <c r="K468" s="109"/>
    </row>
    <row r="469" spans="1:12" x14ac:dyDescent="0.2">
      <c r="A469" s="3" t="s">
        <v>1226</v>
      </c>
      <c r="K469" s="110"/>
    </row>
    <row r="471" spans="1:12" x14ac:dyDescent="0.2">
      <c r="A471" s="8" t="s">
        <v>1227</v>
      </c>
    </row>
    <row r="472" spans="1:12" x14ac:dyDescent="0.2">
      <c r="B472" s="1" t="s">
        <v>1228</v>
      </c>
      <c r="C472" s="11">
        <v>190000</v>
      </c>
    </row>
    <row r="473" spans="1:12" ht="17" thickBot="1" x14ac:dyDescent="0.25">
      <c r="B473" s="1" t="s">
        <v>1229</v>
      </c>
      <c r="C473" s="11">
        <f>C472</f>
        <v>190000</v>
      </c>
    </row>
    <row r="474" spans="1:12" x14ac:dyDescent="0.2">
      <c r="J474" s="46"/>
      <c r="K474" s="32"/>
      <c r="L474" s="115"/>
    </row>
    <row r="475" spans="1:12" ht="17" thickBot="1" x14ac:dyDescent="0.25">
      <c r="A475" s="1" t="s">
        <v>1230</v>
      </c>
      <c r="J475" s="36"/>
      <c r="K475" s="37"/>
      <c r="L475" s="116"/>
    </row>
    <row r="476" spans="1:12" x14ac:dyDescent="0.2">
      <c r="A476" s="1" t="s">
        <v>1231</v>
      </c>
    </row>
    <row r="478" spans="1:12" x14ac:dyDescent="0.2">
      <c r="A478" s="8" t="s">
        <v>1232</v>
      </c>
    </row>
    <row r="479" spans="1:12" x14ac:dyDescent="0.2">
      <c r="B479" s="1" t="s">
        <v>1233</v>
      </c>
      <c r="D479" s="11">
        <v>10000</v>
      </c>
      <c r="G479" s="1" t="s">
        <v>1234</v>
      </c>
    </row>
    <row r="480" spans="1:12" x14ac:dyDescent="0.2">
      <c r="B480" s="1" t="s">
        <v>1235</v>
      </c>
      <c r="D480" s="11">
        <v>190000</v>
      </c>
    </row>
    <row r="481" spans="1:7" x14ac:dyDescent="0.2">
      <c r="B481" s="1" t="s">
        <v>1236</v>
      </c>
      <c r="D481" s="11">
        <v>200000</v>
      </c>
    </row>
    <row r="483" spans="1:7" x14ac:dyDescent="0.2">
      <c r="B483" s="1" t="s">
        <v>1237</v>
      </c>
    </row>
    <row r="484" spans="1:7" x14ac:dyDescent="0.2">
      <c r="B484" s="1" t="s">
        <v>1238</v>
      </c>
    </row>
    <row r="486" spans="1:7" x14ac:dyDescent="0.2">
      <c r="B486" s="1" t="s">
        <v>1233</v>
      </c>
      <c r="D486" s="11">
        <v>10000</v>
      </c>
      <c r="E486" s="1" t="s">
        <v>1239</v>
      </c>
      <c r="F486" s="1" t="s">
        <v>1240</v>
      </c>
      <c r="G486" s="11">
        <v>200000</v>
      </c>
    </row>
    <row r="487" spans="1:7" x14ac:dyDescent="0.2">
      <c r="B487" s="1" t="s">
        <v>1229</v>
      </c>
      <c r="D487" s="11">
        <v>10000</v>
      </c>
      <c r="F487" s="1" t="s">
        <v>1236</v>
      </c>
      <c r="G487" s="11">
        <f>G486</f>
        <v>200000</v>
      </c>
    </row>
    <row r="489" spans="1:7" x14ac:dyDescent="0.2">
      <c r="A489" s="8" t="s">
        <v>1241</v>
      </c>
    </row>
    <row r="490" spans="1:7" x14ac:dyDescent="0.2">
      <c r="A490" s="1" t="s">
        <v>1242</v>
      </c>
    </row>
    <row r="491" spans="1:7" x14ac:dyDescent="0.2">
      <c r="A491" s="1" t="s">
        <v>1243</v>
      </c>
    </row>
    <row r="492" spans="1:7" x14ac:dyDescent="0.2">
      <c r="A492" s="1" t="s">
        <v>3030</v>
      </c>
    </row>
    <row r="493" spans="1:7" x14ac:dyDescent="0.2">
      <c r="A493" s="1" t="s">
        <v>3031</v>
      </c>
    </row>
    <row r="494" spans="1:7" x14ac:dyDescent="0.2">
      <c r="A494" s="1" t="s">
        <v>1244</v>
      </c>
    </row>
    <row r="496" spans="1:7" x14ac:dyDescent="0.2">
      <c r="B496" s="1" t="s">
        <v>1245</v>
      </c>
      <c r="D496" s="60">
        <f>190000/10*6/12</f>
        <v>9500</v>
      </c>
      <c r="E496" s="62"/>
      <c r="F496" s="62"/>
      <c r="G496" s="62" t="s">
        <v>1411</v>
      </c>
    </row>
    <row r="497" spans="1:7" x14ac:dyDescent="0.2">
      <c r="B497" s="1" t="s">
        <v>1246</v>
      </c>
      <c r="D497" s="60">
        <f>D496</f>
        <v>9500</v>
      </c>
      <c r="E497" s="62"/>
      <c r="F497" s="62"/>
      <c r="G497" s="62"/>
    </row>
    <row r="498" spans="1:7" x14ac:dyDescent="0.2">
      <c r="D498" s="60"/>
      <c r="E498" s="62"/>
      <c r="F498" s="62"/>
      <c r="G498" s="62"/>
    </row>
    <row r="499" spans="1:7" x14ac:dyDescent="0.2">
      <c r="A499" s="1" t="s">
        <v>1410</v>
      </c>
      <c r="D499" s="60"/>
      <c r="E499" s="62"/>
      <c r="F499" s="62"/>
      <c r="G499" s="62"/>
    </row>
    <row r="500" spans="1:7" x14ac:dyDescent="0.2">
      <c r="A500" s="1" t="s">
        <v>3032</v>
      </c>
      <c r="D500" s="60"/>
      <c r="E500" s="62"/>
      <c r="F500" s="62"/>
      <c r="G500" s="62"/>
    </row>
    <row r="502" spans="1:7" x14ac:dyDescent="0.2">
      <c r="A502" s="8" t="s">
        <v>1247</v>
      </c>
    </row>
    <row r="503" spans="1:7" x14ac:dyDescent="0.2">
      <c r="A503" s="1" t="s">
        <v>1248</v>
      </c>
    </row>
    <row r="504" spans="1:7" x14ac:dyDescent="0.2">
      <c r="A504" s="1" t="s">
        <v>3033</v>
      </c>
    </row>
    <row r="505" spans="1:7" x14ac:dyDescent="0.2">
      <c r="A505" s="1" t="s">
        <v>3034</v>
      </c>
    </row>
    <row r="506" spans="1:7" x14ac:dyDescent="0.2">
      <c r="A506" s="1" t="s">
        <v>3035</v>
      </c>
    </row>
    <row r="507" spans="1:7" x14ac:dyDescent="0.2">
      <c r="A507" s="1" t="s">
        <v>3036</v>
      </c>
    </row>
    <row r="509" spans="1:7" x14ac:dyDescent="0.2">
      <c r="A509" s="1" t="s">
        <v>1249</v>
      </c>
    </row>
    <row r="510" spans="1:7" x14ac:dyDescent="0.2">
      <c r="A510" s="1" t="s">
        <v>1250</v>
      </c>
      <c r="D510" s="11">
        <v>195000</v>
      </c>
    </row>
    <row r="512" spans="1:7" x14ac:dyDescent="0.2">
      <c r="A512" s="1" t="s">
        <v>1251</v>
      </c>
    </row>
    <row r="513" spans="1:4" x14ac:dyDescent="0.2">
      <c r="C513" s="7" t="s">
        <v>1252</v>
      </c>
      <c r="D513" s="122" t="s">
        <v>1253</v>
      </c>
    </row>
    <row r="514" spans="1:4" x14ac:dyDescent="0.2">
      <c r="C514" s="41" t="s">
        <v>1254</v>
      </c>
      <c r="D514" s="123" t="s">
        <v>1255</v>
      </c>
    </row>
    <row r="515" spans="1:4" x14ac:dyDescent="0.2">
      <c r="B515" s="1" t="s">
        <v>1204</v>
      </c>
      <c r="C515" s="42">
        <v>190000</v>
      </c>
      <c r="D515" s="125">
        <f>D517</f>
        <v>180500</v>
      </c>
    </row>
    <row r="516" spans="1:4" x14ac:dyDescent="0.2">
      <c r="B516" s="1" t="s">
        <v>691</v>
      </c>
      <c r="C516" s="109">
        <f>-D496</f>
        <v>-9500</v>
      </c>
      <c r="D516" s="122">
        <v>0</v>
      </c>
    </row>
    <row r="517" spans="1:4" x14ac:dyDescent="0.2">
      <c r="B517" s="1" t="s">
        <v>120</v>
      </c>
      <c r="C517" s="110">
        <f>C515+C516</f>
        <v>180500</v>
      </c>
      <c r="D517" s="124">
        <f>C517</f>
        <v>180500</v>
      </c>
    </row>
    <row r="518" spans="1:4" ht="17" thickBot="1" x14ac:dyDescent="0.25"/>
    <row r="519" spans="1:4" x14ac:dyDescent="0.2">
      <c r="B519" s="46" t="s">
        <v>1256</v>
      </c>
      <c r="C519" s="32"/>
      <c r="D519" s="113">
        <f>-C516</f>
        <v>9500</v>
      </c>
    </row>
    <row r="520" spans="1:4" ht="17" thickBot="1" x14ac:dyDescent="0.25">
      <c r="B520" s="36" t="s">
        <v>1257</v>
      </c>
      <c r="C520" s="37"/>
      <c r="D520" s="114">
        <f>D519</f>
        <v>9500</v>
      </c>
    </row>
    <row r="522" spans="1:4" x14ac:dyDescent="0.2">
      <c r="A522" s="8" t="s">
        <v>1258</v>
      </c>
    </row>
    <row r="523" spans="1:4" x14ac:dyDescent="0.2">
      <c r="A523" s="1" t="s">
        <v>1259</v>
      </c>
    </row>
    <row r="524" spans="1:4" x14ac:dyDescent="0.2">
      <c r="A524" s="1" t="s">
        <v>1260</v>
      </c>
    </row>
    <row r="526" spans="1:4" x14ac:dyDescent="0.2">
      <c r="C526" s="41" t="s">
        <v>1254</v>
      </c>
    </row>
    <row r="527" spans="1:4" x14ac:dyDescent="0.2">
      <c r="B527" s="1" t="s">
        <v>168</v>
      </c>
      <c r="C527" s="42">
        <f>D510</f>
        <v>195000</v>
      </c>
      <c r="D527" s="1" t="s">
        <v>1412</v>
      </c>
    </row>
    <row r="528" spans="1:4" x14ac:dyDescent="0.2">
      <c r="B528" s="1" t="s">
        <v>120</v>
      </c>
      <c r="C528" s="109">
        <f>-D517</f>
        <v>-180500</v>
      </c>
    </row>
    <row r="529" spans="1:8" x14ac:dyDescent="0.2">
      <c r="B529" s="1" t="s">
        <v>228</v>
      </c>
      <c r="C529" s="110">
        <f>C527+C528</f>
        <v>14500</v>
      </c>
    </row>
    <row r="531" spans="1:8" x14ac:dyDescent="0.2">
      <c r="A531" s="1" t="s">
        <v>1261</v>
      </c>
    </row>
    <row r="532" spans="1:8" x14ac:dyDescent="0.2">
      <c r="A532" s="1" t="s">
        <v>1413</v>
      </c>
    </row>
    <row r="533" spans="1:8" ht="17" thickBot="1" x14ac:dyDescent="0.25"/>
    <row r="534" spans="1:8" x14ac:dyDescent="0.2">
      <c r="B534" s="46" t="s">
        <v>1262</v>
      </c>
      <c r="C534" s="32"/>
      <c r="D534" s="115">
        <f>C529</f>
        <v>14500</v>
      </c>
    </row>
    <row r="535" spans="1:8" ht="17" thickBot="1" x14ac:dyDescent="0.25">
      <c r="B535" s="36" t="s">
        <v>1263</v>
      </c>
      <c r="C535" s="37"/>
      <c r="D535" s="116">
        <f>D534</f>
        <v>14500</v>
      </c>
    </row>
    <row r="537" spans="1:8" x14ac:dyDescent="0.2">
      <c r="A537" s="1" t="s">
        <v>3037</v>
      </c>
    </row>
    <row r="538" spans="1:8" x14ac:dyDescent="0.2">
      <c r="A538" s="1" t="s">
        <v>3038</v>
      </c>
    </row>
    <row r="539" spans="1:8" x14ac:dyDescent="0.2">
      <c r="A539" s="1" t="s">
        <v>3039</v>
      </c>
    </row>
    <row r="541" spans="1:8" x14ac:dyDescent="0.2">
      <c r="A541" s="112" t="s">
        <v>1264</v>
      </c>
      <c r="B541" s="112"/>
      <c r="C541" s="112"/>
      <c r="D541" s="112"/>
      <c r="E541" s="112"/>
      <c r="F541" s="112"/>
      <c r="G541" s="112"/>
      <c r="H541" s="112"/>
    </row>
    <row r="542" spans="1:8" x14ac:dyDescent="0.2">
      <c r="A542" s="1" t="s">
        <v>1265</v>
      </c>
    </row>
    <row r="543" spans="1:8" x14ac:dyDescent="0.2">
      <c r="A543" s="1" t="s">
        <v>1266</v>
      </c>
    </row>
    <row r="544" spans="1:8" x14ac:dyDescent="0.2">
      <c r="A544" s="1" t="s">
        <v>1267</v>
      </c>
    </row>
    <row r="545" spans="1:7" x14ac:dyDescent="0.2">
      <c r="A545" s="1" t="s">
        <v>1268</v>
      </c>
    </row>
    <row r="546" spans="1:7" x14ac:dyDescent="0.2">
      <c r="A546" s="1" t="s">
        <v>1269</v>
      </c>
    </row>
    <row r="547" spans="1:7" x14ac:dyDescent="0.2">
      <c r="A547" s="1" t="s">
        <v>1270</v>
      </c>
    </row>
    <row r="549" spans="1:7" x14ac:dyDescent="0.2">
      <c r="A549" s="8" t="s">
        <v>1271</v>
      </c>
    </row>
    <row r="550" spans="1:7" x14ac:dyDescent="0.2">
      <c r="A550" s="1" t="s">
        <v>1272</v>
      </c>
      <c r="E550" s="11">
        <v>195000</v>
      </c>
    </row>
    <row r="551" spans="1:7" x14ac:dyDescent="0.2">
      <c r="A551" s="1" t="s">
        <v>1273</v>
      </c>
      <c r="E551" s="1">
        <v>9.5</v>
      </c>
      <c r="F551" s="1" t="s">
        <v>1414</v>
      </c>
    </row>
    <row r="552" spans="1:7" x14ac:dyDescent="0.2">
      <c r="A552" s="1" t="s">
        <v>1415</v>
      </c>
      <c r="E552" s="11">
        <f>E550/E551</f>
        <v>20526.315789473683</v>
      </c>
      <c r="G552" s="1" t="s">
        <v>1274</v>
      </c>
    </row>
    <row r="553" spans="1:7" ht="17" thickBot="1" x14ac:dyDescent="0.25"/>
    <row r="554" spans="1:7" x14ac:dyDescent="0.2">
      <c r="B554" s="46" t="s">
        <v>1245</v>
      </c>
      <c r="C554" s="32"/>
      <c r="D554" s="115">
        <f>E552</f>
        <v>20526.315789473683</v>
      </c>
    </row>
    <row r="555" spans="1:7" ht="17" thickBot="1" x14ac:dyDescent="0.25">
      <c r="B555" s="36" t="s">
        <v>1246</v>
      </c>
      <c r="C555" s="37"/>
      <c r="D555" s="116">
        <f>D554</f>
        <v>20526.315789473683</v>
      </c>
    </row>
    <row r="557" spans="1:7" x14ac:dyDescent="0.2">
      <c r="A557" s="8" t="s">
        <v>1275</v>
      </c>
    </row>
    <row r="558" spans="1:7" x14ac:dyDescent="0.2">
      <c r="A558" s="1" t="s">
        <v>1276</v>
      </c>
    </row>
    <row r="559" spans="1:7" x14ac:dyDescent="0.2">
      <c r="A559" s="1" t="s">
        <v>1277</v>
      </c>
    </row>
    <row r="560" spans="1:7" x14ac:dyDescent="0.2">
      <c r="A560" s="1" t="s">
        <v>1278</v>
      </c>
    </row>
    <row r="561" spans="1:6" x14ac:dyDescent="0.2">
      <c r="A561" s="1" t="s">
        <v>1279</v>
      </c>
    </row>
    <row r="562" spans="1:6" x14ac:dyDescent="0.2">
      <c r="A562" s="1" t="s">
        <v>1280</v>
      </c>
    </row>
    <row r="563" spans="1:6" x14ac:dyDescent="0.2">
      <c r="A563" s="1" t="s">
        <v>1281</v>
      </c>
    </row>
    <row r="565" spans="1:6" x14ac:dyDescent="0.2">
      <c r="A565" s="1" t="s">
        <v>1282</v>
      </c>
    </row>
    <row r="566" spans="1:6" x14ac:dyDescent="0.2">
      <c r="A566" s="1" t="s">
        <v>1283</v>
      </c>
    </row>
    <row r="567" spans="1:6" x14ac:dyDescent="0.2">
      <c r="A567" s="1" t="s">
        <v>1284</v>
      </c>
    </row>
    <row r="568" spans="1:6" x14ac:dyDescent="0.2">
      <c r="A568" s="1" t="s">
        <v>1285</v>
      </c>
    </row>
    <row r="569" spans="1:6" x14ac:dyDescent="0.2">
      <c r="A569" s="1" t="s">
        <v>1286</v>
      </c>
    </row>
    <row r="570" spans="1:6" x14ac:dyDescent="0.2">
      <c r="A570" s="1" t="s">
        <v>1287</v>
      </c>
    </row>
    <row r="572" spans="1:6" x14ac:dyDescent="0.2">
      <c r="A572" s="1" t="s">
        <v>1288</v>
      </c>
      <c r="D572" s="11">
        <v>14500</v>
      </c>
    </row>
    <row r="573" spans="1:6" x14ac:dyDescent="0.2">
      <c r="A573" s="1" t="s">
        <v>1289</v>
      </c>
      <c r="D573" s="1">
        <v>9.5</v>
      </c>
    </row>
    <row r="574" spans="1:6" x14ac:dyDescent="0.2">
      <c r="A574" s="1" t="s">
        <v>1290</v>
      </c>
      <c r="D574" s="11">
        <f>D572/D573</f>
        <v>1526.3157894736842</v>
      </c>
      <c r="F574" s="1" t="s">
        <v>1291</v>
      </c>
    </row>
    <row r="575" spans="1:6" ht="17" thickBot="1" x14ac:dyDescent="0.25"/>
    <row r="576" spans="1:6" x14ac:dyDescent="0.2">
      <c r="B576" s="46" t="s">
        <v>1292</v>
      </c>
      <c r="C576" s="32"/>
      <c r="D576" s="115">
        <f>D574</f>
        <v>1526.3157894736842</v>
      </c>
      <c r="E576" s="1" t="s">
        <v>3042</v>
      </c>
    </row>
    <row r="577" spans="1:5" ht="17" thickBot="1" x14ac:dyDescent="0.25">
      <c r="B577" s="36" t="s">
        <v>1293</v>
      </c>
      <c r="C577" s="37"/>
      <c r="D577" s="116">
        <f>D576</f>
        <v>1526.3157894736842</v>
      </c>
      <c r="E577" s="1" t="s">
        <v>3043</v>
      </c>
    </row>
    <row r="579" spans="1:5" x14ac:dyDescent="0.2">
      <c r="A579" s="8" t="s">
        <v>1294</v>
      </c>
    </row>
    <row r="580" spans="1:5" x14ac:dyDescent="0.2">
      <c r="A580" s="8"/>
      <c r="D580" s="7" t="s">
        <v>1295</v>
      </c>
      <c r="E580" s="1" t="s">
        <v>1296</v>
      </c>
    </row>
    <row r="581" spans="1:5" x14ac:dyDescent="0.2">
      <c r="A581" s="8"/>
      <c r="D581" s="108">
        <v>41639</v>
      </c>
      <c r="E581" s="108">
        <v>41639</v>
      </c>
    </row>
    <row r="582" spans="1:5" x14ac:dyDescent="0.2">
      <c r="A582" s="8"/>
      <c r="B582" s="1" t="s">
        <v>1204</v>
      </c>
      <c r="D582" s="42">
        <f>195000-D575</f>
        <v>195000</v>
      </c>
      <c r="E582" s="125">
        <f>E585</f>
        <v>174473.68421052632</v>
      </c>
    </row>
    <row r="583" spans="1:5" x14ac:dyDescent="0.2">
      <c r="A583" s="8"/>
      <c r="B583" s="1" t="s">
        <v>691</v>
      </c>
      <c r="D583" s="109">
        <f>-D554</f>
        <v>-20526.315789473683</v>
      </c>
      <c r="E583" s="127">
        <f>-E554</f>
        <v>0</v>
      </c>
    </row>
    <row r="584" spans="1:5" x14ac:dyDescent="0.2">
      <c r="A584" s="8"/>
      <c r="B584" s="1" t="s">
        <v>1205</v>
      </c>
      <c r="D584" s="7">
        <v>0</v>
      </c>
      <c r="E584" s="122">
        <v>0</v>
      </c>
    </row>
    <row r="585" spans="1:5" x14ac:dyDescent="0.2">
      <c r="A585" s="8"/>
      <c r="B585" s="1" t="s">
        <v>120</v>
      </c>
      <c r="D585" s="111">
        <f>D582+D583</f>
        <v>174473.68421052632</v>
      </c>
      <c r="E585" s="126">
        <f>D585</f>
        <v>174473.68421052632</v>
      </c>
    </row>
    <row r="586" spans="1:5" ht="17" thickBot="1" x14ac:dyDescent="0.25">
      <c r="A586" s="8"/>
    </row>
    <row r="587" spans="1:5" x14ac:dyDescent="0.2">
      <c r="B587" s="46" t="s">
        <v>1256</v>
      </c>
      <c r="C587" s="32"/>
      <c r="D587" s="115">
        <f>D554</f>
        <v>20526.315789473683</v>
      </c>
    </row>
    <row r="588" spans="1:5" ht="17" thickBot="1" x14ac:dyDescent="0.25">
      <c r="B588" s="36" t="s">
        <v>1297</v>
      </c>
      <c r="C588" s="37"/>
      <c r="D588" s="116">
        <f>D587</f>
        <v>20526.315789473683</v>
      </c>
    </row>
    <row r="590" spans="1:5" x14ac:dyDescent="0.2">
      <c r="A590" s="8" t="s">
        <v>1298</v>
      </c>
    </row>
    <row r="591" spans="1:5" x14ac:dyDescent="0.2">
      <c r="A591" s="62" t="s">
        <v>1299</v>
      </c>
    </row>
    <row r="592" spans="1:5" x14ac:dyDescent="0.2">
      <c r="A592" s="8"/>
      <c r="D592" s="7" t="s">
        <v>1300</v>
      </c>
    </row>
    <row r="593" spans="2:7" x14ac:dyDescent="0.2">
      <c r="D593" s="108">
        <v>41639</v>
      </c>
    </row>
    <row r="594" spans="2:7" x14ac:dyDescent="0.2">
      <c r="B594" s="1" t="s">
        <v>1204</v>
      </c>
      <c r="D594" s="42">
        <f>195000-D587</f>
        <v>174473.68421052632</v>
      </c>
      <c r="G594" s="1" t="s">
        <v>1301</v>
      </c>
    </row>
    <row r="595" spans="2:7" x14ac:dyDescent="0.2">
      <c r="B595" s="1" t="s">
        <v>691</v>
      </c>
      <c r="D595" s="7">
        <v>0</v>
      </c>
    </row>
    <row r="596" spans="2:7" x14ac:dyDescent="0.2">
      <c r="B596" s="1" t="s">
        <v>1205</v>
      </c>
      <c r="D596" s="7">
        <v>0</v>
      </c>
    </row>
    <row r="597" spans="2:7" x14ac:dyDescent="0.2">
      <c r="B597" s="1" t="s">
        <v>120</v>
      </c>
      <c r="D597" s="111">
        <f>D594</f>
        <v>174473.68421052632</v>
      </c>
    </row>
    <row r="599" spans="2:7" x14ac:dyDescent="0.2">
      <c r="B599" s="1" t="s">
        <v>3044</v>
      </c>
      <c r="D599" s="111">
        <v>140000</v>
      </c>
    </row>
    <row r="601" spans="2:7" x14ac:dyDescent="0.2">
      <c r="B601" s="1" t="s">
        <v>1302</v>
      </c>
      <c r="D601" s="109">
        <f>D597-D599</f>
        <v>34473.68421052632</v>
      </c>
      <c r="G601" s="1" t="s">
        <v>1303</v>
      </c>
    </row>
    <row r="606" spans="2:7" x14ac:dyDescent="0.2">
      <c r="B606" s="1" t="s">
        <v>1304</v>
      </c>
      <c r="E606" s="1" t="s">
        <v>1305</v>
      </c>
    </row>
    <row r="607" spans="2:7" x14ac:dyDescent="0.2">
      <c r="B607" s="1" t="s">
        <v>1306</v>
      </c>
      <c r="E607" s="1" t="s">
        <v>1307</v>
      </c>
    </row>
    <row r="608" spans="2:7" x14ac:dyDescent="0.2">
      <c r="C608" s="1" t="s">
        <v>1308</v>
      </c>
      <c r="E608" s="27">
        <f>D601-B609</f>
        <v>21499.68421052632</v>
      </c>
      <c r="G608" s="1" t="s">
        <v>1309</v>
      </c>
    </row>
    <row r="609" spans="1:8" x14ac:dyDescent="0.2">
      <c r="B609" s="28">
        <v>12974</v>
      </c>
    </row>
    <row r="610" spans="1:8" x14ac:dyDescent="0.2">
      <c r="B610" s="1" t="s">
        <v>1310</v>
      </c>
    </row>
    <row r="611" spans="1:8" x14ac:dyDescent="0.2">
      <c r="B611" s="1" t="s">
        <v>1311</v>
      </c>
    </row>
    <row r="613" spans="1:8" ht="17" thickBot="1" x14ac:dyDescent="0.25">
      <c r="B613" s="357" t="s">
        <v>1416</v>
      </c>
      <c r="C613" s="357"/>
      <c r="D613" s="357"/>
      <c r="E613" s="358" t="s">
        <v>1417</v>
      </c>
      <c r="F613" s="358"/>
      <c r="G613" s="358"/>
    </row>
    <row r="614" spans="1:8" x14ac:dyDescent="0.2">
      <c r="B614" s="46" t="s">
        <v>1312</v>
      </c>
      <c r="C614" s="32"/>
      <c r="D614" s="115">
        <f>B609</f>
        <v>12974</v>
      </c>
      <c r="E614" s="46" t="s">
        <v>1313</v>
      </c>
      <c r="F614" s="32"/>
      <c r="G614" s="117">
        <f>E608</f>
        <v>21499.68421052632</v>
      </c>
    </row>
    <row r="615" spans="1:8" ht="17" thickBot="1" x14ac:dyDescent="0.25">
      <c r="B615" s="36" t="s">
        <v>1314</v>
      </c>
      <c r="C615" s="37"/>
      <c r="D615" s="116">
        <f>D614</f>
        <v>12974</v>
      </c>
      <c r="E615" s="36" t="s">
        <v>1315</v>
      </c>
      <c r="F615" s="37"/>
      <c r="G615" s="118">
        <f>G614</f>
        <v>21499.68421052632</v>
      </c>
    </row>
    <row r="617" spans="1:8" ht="21" x14ac:dyDescent="0.25">
      <c r="A617" s="235"/>
    </row>
    <row r="620" spans="1:8" x14ac:dyDescent="0.2">
      <c r="A620" s="112" t="s">
        <v>3045</v>
      </c>
      <c r="B620" s="112"/>
      <c r="C620" s="112"/>
      <c r="D620" s="112"/>
      <c r="E620" s="112"/>
      <c r="F620" s="112"/>
      <c r="G620" s="112"/>
      <c r="H620" s="112"/>
    </row>
    <row r="621" spans="1:8" x14ac:dyDescent="0.2">
      <c r="A621" s="1" t="s">
        <v>1316</v>
      </c>
    </row>
    <row r="622" spans="1:8" x14ac:dyDescent="0.2">
      <c r="A622" s="1" t="s">
        <v>3046</v>
      </c>
    </row>
    <row r="623" spans="1:8" x14ac:dyDescent="0.2">
      <c r="A623" s="1" t="s">
        <v>3047</v>
      </c>
    </row>
    <row r="624" spans="1:8" x14ac:dyDescent="0.2">
      <c r="C624" s="1" t="s">
        <v>3048</v>
      </c>
    </row>
    <row r="625" spans="1:8" x14ac:dyDescent="0.2">
      <c r="A625" s="1" t="s">
        <v>3050</v>
      </c>
    </row>
    <row r="626" spans="1:8" x14ac:dyDescent="0.2">
      <c r="A626" s="1" t="s">
        <v>3051</v>
      </c>
    </row>
    <row r="627" spans="1:8" x14ac:dyDescent="0.2">
      <c r="A627" s="1" t="s">
        <v>3049</v>
      </c>
    </row>
    <row r="629" spans="1:8" x14ac:dyDescent="0.2">
      <c r="A629" s="8" t="s">
        <v>1317</v>
      </c>
    </row>
    <row r="630" spans="1:8" x14ac:dyDescent="0.2">
      <c r="A630" s="1" t="s">
        <v>3052</v>
      </c>
    </row>
    <row r="631" spans="1:8" x14ac:dyDescent="0.2">
      <c r="A631" s="1" t="s">
        <v>3053</v>
      </c>
    </row>
    <row r="633" spans="1:8" x14ac:dyDescent="0.2">
      <c r="A633" s="1" t="s">
        <v>3054</v>
      </c>
    </row>
    <row r="634" spans="1:8" x14ac:dyDescent="0.2">
      <c r="A634" s="1" t="s">
        <v>3055</v>
      </c>
    </row>
    <row r="636" spans="1:8" x14ac:dyDescent="0.2">
      <c r="B636" s="1" t="s">
        <v>1318</v>
      </c>
      <c r="E636" s="11">
        <v>140000</v>
      </c>
    </row>
    <row r="637" spans="1:8" x14ac:dyDescent="0.2">
      <c r="B637" s="1" t="s">
        <v>1319</v>
      </c>
      <c r="E637" s="1">
        <v>8.5</v>
      </c>
      <c r="G637" s="1" t="s">
        <v>3056</v>
      </c>
      <c r="H637" s="1" t="s">
        <v>3495</v>
      </c>
    </row>
    <row r="638" spans="1:8" x14ac:dyDescent="0.2">
      <c r="B638" s="1" t="s">
        <v>1206</v>
      </c>
      <c r="E638" s="11">
        <f>E636/E637</f>
        <v>16470.588235294119</v>
      </c>
      <c r="G638" s="1" t="s">
        <v>1320</v>
      </c>
    </row>
    <row r="639" spans="1:8" ht="17" thickBot="1" x14ac:dyDescent="0.25"/>
    <row r="640" spans="1:8" x14ac:dyDescent="0.2">
      <c r="B640" s="46" t="s">
        <v>1245</v>
      </c>
      <c r="C640" s="32"/>
      <c r="D640" s="115">
        <f>E638</f>
        <v>16470.588235294119</v>
      </c>
    </row>
    <row r="641" spans="1:7" ht="17" thickBot="1" x14ac:dyDescent="0.25">
      <c r="B641" s="36" t="s">
        <v>1246</v>
      </c>
      <c r="C641" s="37"/>
      <c r="D641" s="116">
        <f>D640</f>
        <v>16470.588235294119</v>
      </c>
    </row>
    <row r="643" spans="1:7" x14ac:dyDescent="0.2">
      <c r="A643" s="8" t="s">
        <v>1321</v>
      </c>
    </row>
    <row r="644" spans="1:7" x14ac:dyDescent="0.2">
      <c r="A644" s="1" t="s">
        <v>1322</v>
      </c>
    </row>
    <row r="645" spans="1:7" x14ac:dyDescent="0.2">
      <c r="B645" s="1" t="s">
        <v>3057</v>
      </c>
      <c r="E645" s="11">
        <v>21500</v>
      </c>
      <c r="F645" s="1" t="s">
        <v>3058</v>
      </c>
    </row>
    <row r="646" spans="1:7" x14ac:dyDescent="0.2">
      <c r="B646" s="1" t="s">
        <v>1324</v>
      </c>
      <c r="E646" s="1">
        <v>8.5</v>
      </c>
      <c r="F646" s="1" t="s">
        <v>3059</v>
      </c>
    </row>
    <row r="647" spans="1:7" x14ac:dyDescent="0.2">
      <c r="B647" s="1" t="s">
        <v>1325</v>
      </c>
      <c r="E647" s="11">
        <f>E645/E646</f>
        <v>2529.4117647058824</v>
      </c>
      <c r="G647" s="1" t="s">
        <v>1326</v>
      </c>
    </row>
    <row r="648" spans="1:7" ht="17" thickBot="1" x14ac:dyDescent="0.25"/>
    <row r="649" spans="1:7" x14ac:dyDescent="0.2">
      <c r="B649" s="46" t="s">
        <v>1327</v>
      </c>
      <c r="C649" s="32"/>
      <c r="D649" s="115">
        <f>E647</f>
        <v>2529.4117647058824</v>
      </c>
      <c r="E649" s="1" t="s">
        <v>3060</v>
      </c>
    </row>
    <row r="650" spans="1:7" ht="17" thickBot="1" x14ac:dyDescent="0.25">
      <c r="B650" s="36" t="s">
        <v>1246</v>
      </c>
      <c r="C650" s="37"/>
      <c r="D650" s="116">
        <f>D649</f>
        <v>2529.4117647058824</v>
      </c>
      <c r="E650" s="1" t="s">
        <v>3061</v>
      </c>
    </row>
    <row r="652" spans="1:7" x14ac:dyDescent="0.2">
      <c r="A652" s="1" t="s">
        <v>1328</v>
      </c>
    </row>
    <row r="653" spans="1:7" x14ac:dyDescent="0.2">
      <c r="A653" s="1" t="s">
        <v>1329</v>
      </c>
    </row>
    <row r="654" spans="1:7" x14ac:dyDescent="0.2">
      <c r="A654" s="1" t="s">
        <v>1330</v>
      </c>
    </row>
    <row r="655" spans="1:7" ht="17" thickBot="1" x14ac:dyDescent="0.25"/>
    <row r="656" spans="1:7" x14ac:dyDescent="0.2">
      <c r="B656" s="46"/>
      <c r="C656" s="32"/>
      <c r="D656" s="32"/>
      <c r="E656" s="33" t="s">
        <v>3063</v>
      </c>
    </row>
    <row r="657" spans="1:9" ht="17" thickBot="1" x14ac:dyDescent="0.25">
      <c r="B657" s="36" t="s">
        <v>3062</v>
      </c>
      <c r="C657" s="37"/>
      <c r="D657" s="37"/>
      <c r="E657" s="116">
        <f>E645-E647</f>
        <v>18970.588235294119</v>
      </c>
      <c r="G657" s="1" t="s">
        <v>1331</v>
      </c>
    </row>
    <row r="659" spans="1:9" x14ac:dyDescent="0.2">
      <c r="A659" s="8" t="s">
        <v>1332</v>
      </c>
    </row>
    <row r="660" spans="1:9" x14ac:dyDescent="0.2">
      <c r="D660" s="7" t="s">
        <v>1295</v>
      </c>
      <c r="E660" s="1" t="s">
        <v>1296</v>
      </c>
    </row>
    <row r="661" spans="1:9" x14ac:dyDescent="0.2">
      <c r="D661" s="108">
        <v>42004</v>
      </c>
      <c r="E661" s="128">
        <v>42004</v>
      </c>
    </row>
    <row r="662" spans="1:9" x14ac:dyDescent="0.2">
      <c r="B662" s="1" t="s">
        <v>1204</v>
      </c>
      <c r="D662" s="42">
        <f>E435</f>
        <v>161499.68421052632</v>
      </c>
      <c r="E662" s="125">
        <f>E665+E664</f>
        <v>142499.68421052632</v>
      </c>
    </row>
    <row r="663" spans="1:9" x14ac:dyDescent="0.2">
      <c r="B663" s="1" t="s">
        <v>3064</v>
      </c>
      <c r="D663" s="109">
        <f>D641+D650</f>
        <v>19000</v>
      </c>
      <c r="E663" s="127">
        <f>-E629</f>
        <v>0</v>
      </c>
    </row>
    <row r="664" spans="1:9" x14ac:dyDescent="0.2">
      <c r="B664" s="1" t="s">
        <v>1205</v>
      </c>
      <c r="D664" s="42">
        <f>E657</f>
        <v>18970.588235294119</v>
      </c>
      <c r="E664" s="125">
        <f>D664</f>
        <v>18970.588235294119</v>
      </c>
    </row>
    <row r="665" spans="1:9" x14ac:dyDescent="0.2">
      <c r="B665" s="1" t="s">
        <v>120</v>
      </c>
      <c r="D665" s="111">
        <f>D662-D663-D664</f>
        <v>123529.09597523219</v>
      </c>
      <c r="E665" s="126">
        <f>D665</f>
        <v>123529.09597523219</v>
      </c>
    </row>
    <row r="667" spans="1:9" x14ac:dyDescent="0.2">
      <c r="B667" s="7" t="s">
        <v>308</v>
      </c>
      <c r="C667" s="1" t="s">
        <v>3065</v>
      </c>
    </row>
    <row r="668" spans="1:9" x14ac:dyDescent="0.2">
      <c r="C668" s="1" t="s">
        <v>3066</v>
      </c>
    </row>
    <row r="669" spans="1:9" x14ac:dyDescent="0.2">
      <c r="C669" s="1" t="s">
        <v>3067</v>
      </c>
      <c r="G669" s="17">
        <f>D663</f>
        <v>19000</v>
      </c>
      <c r="I669" s="1" t="s">
        <v>3068</v>
      </c>
    </row>
    <row r="671" spans="1:9" ht="17" thickBot="1" x14ac:dyDescent="0.25">
      <c r="A671" s="1" t="s">
        <v>3069</v>
      </c>
    </row>
    <row r="672" spans="1:9" x14ac:dyDescent="0.2">
      <c r="B672" s="46" t="s">
        <v>1256</v>
      </c>
      <c r="C672" s="32"/>
      <c r="D672" s="115">
        <f>D663</f>
        <v>19000</v>
      </c>
    </row>
    <row r="673" spans="1:8" ht="17" thickBot="1" x14ac:dyDescent="0.25">
      <c r="B673" s="36" t="s">
        <v>1297</v>
      </c>
      <c r="C673" s="37"/>
      <c r="D673" s="116">
        <f>D672</f>
        <v>19000</v>
      </c>
    </row>
    <row r="675" spans="1:8" x14ac:dyDescent="0.2">
      <c r="A675" s="8" t="s">
        <v>1333</v>
      </c>
    </row>
    <row r="676" spans="1:8" x14ac:dyDescent="0.2">
      <c r="B676" s="1" t="s">
        <v>120</v>
      </c>
      <c r="E676" s="109">
        <f>E665</f>
        <v>123529.09597523219</v>
      </c>
    </row>
    <row r="677" spans="1:8" x14ac:dyDescent="0.2">
      <c r="B677" s="1" t="s">
        <v>168</v>
      </c>
      <c r="E677" s="42">
        <v>155000</v>
      </c>
    </row>
    <row r="678" spans="1:8" x14ac:dyDescent="0.2">
      <c r="B678" s="1" t="s">
        <v>1334</v>
      </c>
      <c r="E678" s="111">
        <f>E677-E676</f>
        <v>31470.904024767806</v>
      </c>
      <c r="G678" s="1" t="s">
        <v>3070</v>
      </c>
    </row>
    <row r="682" spans="1:8" x14ac:dyDescent="0.2">
      <c r="C682" s="1" t="s">
        <v>1335</v>
      </c>
      <c r="F682" s="1" t="s">
        <v>1336</v>
      </c>
    </row>
    <row r="683" spans="1:8" x14ac:dyDescent="0.2">
      <c r="C683" s="1" t="s">
        <v>1337</v>
      </c>
      <c r="F683" s="1" t="s">
        <v>1338</v>
      </c>
    </row>
    <row r="684" spans="1:8" x14ac:dyDescent="0.2">
      <c r="C684" s="1" t="s">
        <v>1339</v>
      </c>
      <c r="F684" s="1" t="s">
        <v>1340</v>
      </c>
    </row>
    <row r="685" spans="1:8" x14ac:dyDescent="0.2">
      <c r="C685" s="1" t="s">
        <v>1341</v>
      </c>
      <c r="D685" s="11">
        <f>E664</f>
        <v>18970.588235294119</v>
      </c>
      <c r="F685" s="17">
        <f>E678-D685</f>
        <v>12500.315789473687</v>
      </c>
      <c r="H685" s="1" t="s">
        <v>1342</v>
      </c>
    </row>
    <row r="686" spans="1:8" ht="17" thickBot="1" x14ac:dyDescent="0.25"/>
    <row r="687" spans="1:8" x14ac:dyDescent="0.2">
      <c r="B687" s="46" t="s">
        <v>1327</v>
      </c>
      <c r="C687" s="32"/>
      <c r="D687" s="115">
        <f>D685</f>
        <v>18970.588235294119</v>
      </c>
      <c r="F687" s="46" t="s">
        <v>1343</v>
      </c>
      <c r="G687" s="32"/>
      <c r="H687" s="117">
        <f>F685</f>
        <v>12500.315789473687</v>
      </c>
    </row>
    <row r="688" spans="1:8" ht="17" thickBot="1" x14ac:dyDescent="0.25">
      <c r="B688" s="36" t="s">
        <v>1344</v>
      </c>
      <c r="C688" s="37"/>
      <c r="D688" s="116">
        <f>D687</f>
        <v>18970.588235294119</v>
      </c>
      <c r="F688" s="36" t="s">
        <v>1263</v>
      </c>
      <c r="G688" s="37"/>
      <c r="H688" s="118">
        <f>H687</f>
        <v>12500.315789473687</v>
      </c>
    </row>
    <row r="690" spans="1:8" x14ac:dyDescent="0.2">
      <c r="A690" s="112" t="s">
        <v>1345</v>
      </c>
      <c r="B690" s="112"/>
      <c r="C690" s="112"/>
      <c r="D690" s="129"/>
      <c r="E690" s="112"/>
      <c r="F690" s="112"/>
      <c r="G690" s="112"/>
      <c r="H690" s="112"/>
    </row>
    <row r="691" spans="1:8" x14ac:dyDescent="0.2">
      <c r="A691" s="1" t="s">
        <v>1346</v>
      </c>
    </row>
    <row r="692" spans="1:8" x14ac:dyDescent="0.2">
      <c r="A692" s="1" t="s">
        <v>1347</v>
      </c>
    </row>
    <row r="693" spans="1:8" x14ac:dyDescent="0.2">
      <c r="A693" s="1" t="s">
        <v>1348</v>
      </c>
    </row>
    <row r="694" spans="1:8" x14ac:dyDescent="0.2">
      <c r="A694" s="1" t="s">
        <v>1349</v>
      </c>
    </row>
    <row r="695" spans="1:8" x14ac:dyDescent="0.2">
      <c r="A695" s="1" t="s">
        <v>1350</v>
      </c>
    </row>
    <row r="696" spans="1:8" x14ac:dyDescent="0.2">
      <c r="A696" s="1" t="s">
        <v>1351</v>
      </c>
    </row>
    <row r="697" spans="1:8" x14ac:dyDescent="0.2">
      <c r="A697" s="1" t="s">
        <v>1352</v>
      </c>
    </row>
    <row r="698" spans="1:8" x14ac:dyDescent="0.2">
      <c r="A698" s="1" t="s">
        <v>1353</v>
      </c>
    </row>
    <row r="714" spans="1:6" ht="17" thickBot="1" x14ac:dyDescent="0.25">
      <c r="A714" s="8" t="s">
        <v>1354</v>
      </c>
    </row>
    <row r="715" spans="1:6" x14ac:dyDescent="0.2">
      <c r="B715" s="46" t="s">
        <v>1245</v>
      </c>
      <c r="C715" s="32"/>
      <c r="D715" s="115">
        <f>155000/7.5</f>
        <v>20666.666666666668</v>
      </c>
      <c r="F715" s="1" t="s">
        <v>1355</v>
      </c>
    </row>
    <row r="716" spans="1:6" ht="17" thickBot="1" x14ac:dyDescent="0.25">
      <c r="B716" s="36" t="s">
        <v>1246</v>
      </c>
      <c r="C716" s="37"/>
      <c r="D716" s="116">
        <f>D715</f>
        <v>20666.666666666668</v>
      </c>
    </row>
    <row r="718" spans="1:6" x14ac:dyDescent="0.2">
      <c r="A718" s="1" t="s">
        <v>1677</v>
      </c>
    </row>
    <row r="719" spans="1:6" x14ac:dyDescent="0.2">
      <c r="A719" s="1" t="s">
        <v>1678</v>
      </c>
    </row>
    <row r="720" spans="1:6" x14ac:dyDescent="0.2">
      <c r="A720" s="1" t="s">
        <v>1679</v>
      </c>
    </row>
    <row r="722" spans="1:6" ht="17" thickBot="1" x14ac:dyDescent="0.25">
      <c r="A722" s="8" t="s">
        <v>1356</v>
      </c>
    </row>
    <row r="723" spans="1:6" x14ac:dyDescent="0.2">
      <c r="B723" s="46" t="s">
        <v>1292</v>
      </c>
      <c r="C723" s="32"/>
      <c r="D723" s="115">
        <f>12500/7.5</f>
        <v>1666.6666666666667</v>
      </c>
      <c r="F723" s="1" t="s">
        <v>1357</v>
      </c>
    </row>
    <row r="724" spans="1:6" ht="17" thickBot="1" x14ac:dyDescent="0.25">
      <c r="B724" s="36" t="s">
        <v>1293</v>
      </c>
      <c r="C724" s="37"/>
      <c r="D724" s="116">
        <f>D723</f>
        <v>1666.6666666666667</v>
      </c>
    </row>
    <row r="726" spans="1:6" x14ac:dyDescent="0.2">
      <c r="A726" s="1" t="s">
        <v>1680</v>
      </c>
    </row>
    <row r="727" spans="1:6" x14ac:dyDescent="0.2">
      <c r="A727" s="1" t="s">
        <v>1681</v>
      </c>
    </row>
    <row r="729" spans="1:6" x14ac:dyDescent="0.2">
      <c r="A729" s="3" t="s">
        <v>1358</v>
      </c>
    </row>
    <row r="730" spans="1:6" x14ac:dyDescent="0.2">
      <c r="A730" s="1" t="s">
        <v>1359</v>
      </c>
    </row>
    <row r="731" spans="1:6" x14ac:dyDescent="0.2">
      <c r="A731" s="1" t="s">
        <v>3071</v>
      </c>
    </row>
    <row r="732" spans="1:6" x14ac:dyDescent="0.2">
      <c r="A732" s="1" t="s">
        <v>1360</v>
      </c>
    </row>
    <row r="733" spans="1:6" x14ac:dyDescent="0.2">
      <c r="A733" s="1" t="s">
        <v>1361</v>
      </c>
    </row>
    <row r="734" spans="1:6" x14ac:dyDescent="0.2">
      <c r="A734" s="1" t="s">
        <v>1362</v>
      </c>
    </row>
    <row r="736" spans="1:6" x14ac:dyDescent="0.2">
      <c r="A736" s="7" t="s">
        <v>308</v>
      </c>
      <c r="B736" s="1" t="s">
        <v>3072</v>
      </c>
    </row>
    <row r="737" spans="1:4" x14ac:dyDescent="0.2">
      <c r="B737" s="1" t="s">
        <v>3073</v>
      </c>
    </row>
    <row r="738" spans="1:4" x14ac:dyDescent="0.2">
      <c r="B738" s="1" t="s">
        <v>3074</v>
      </c>
    </row>
    <row r="740" spans="1:4" x14ac:dyDescent="0.2">
      <c r="A740" s="1" t="s">
        <v>3075</v>
      </c>
      <c r="D740" s="41" t="s">
        <v>1363</v>
      </c>
    </row>
    <row r="741" spans="1:4" x14ac:dyDescent="0.2">
      <c r="C741" s="1" t="s">
        <v>1364</v>
      </c>
      <c r="D741" s="109">
        <v>155000</v>
      </c>
    </row>
    <row r="742" spans="1:4" ht="17" thickBot="1" x14ac:dyDescent="0.25">
      <c r="C742" s="1" t="s">
        <v>691</v>
      </c>
      <c r="D742" s="109">
        <f>-D716</f>
        <v>-20666.666666666668</v>
      </c>
    </row>
    <row r="743" spans="1:4" ht="17" thickBot="1" x14ac:dyDescent="0.25">
      <c r="C743" s="1" t="s">
        <v>120</v>
      </c>
      <c r="D743" s="236">
        <f>D741+D742</f>
        <v>134333.33333333334</v>
      </c>
    </row>
    <row r="745" spans="1:4" x14ac:dyDescent="0.2">
      <c r="A745" s="1" t="s">
        <v>1365</v>
      </c>
    </row>
    <row r="746" spans="1:4" x14ac:dyDescent="0.2">
      <c r="A746" s="1" t="s">
        <v>3076</v>
      </c>
    </row>
    <row r="747" spans="1:4" x14ac:dyDescent="0.2">
      <c r="A747" s="1" t="s">
        <v>1366</v>
      </c>
    </row>
    <row r="748" spans="1:4" x14ac:dyDescent="0.2">
      <c r="A748" s="1" t="s">
        <v>1367</v>
      </c>
    </row>
    <row r="750" spans="1:4" x14ac:dyDescent="0.2">
      <c r="A750" s="1" t="s">
        <v>1368</v>
      </c>
    </row>
    <row r="751" spans="1:4" x14ac:dyDescent="0.2">
      <c r="A751" s="237" t="s">
        <v>1369</v>
      </c>
    </row>
    <row r="752" spans="1:4" x14ac:dyDescent="0.2">
      <c r="A752" s="237" t="s">
        <v>3077</v>
      </c>
    </row>
    <row r="754" spans="1:7" x14ac:dyDescent="0.2">
      <c r="A754" s="1" t="s">
        <v>1682</v>
      </c>
    </row>
    <row r="755" spans="1:7" x14ac:dyDescent="0.2">
      <c r="A755" s="1" t="s">
        <v>3078</v>
      </c>
      <c r="D755" s="1">
        <v>10</v>
      </c>
    </row>
    <row r="756" spans="1:7" x14ac:dyDescent="0.2">
      <c r="A756" s="1" t="s">
        <v>3079</v>
      </c>
      <c r="D756" s="1">
        <v>3.5</v>
      </c>
      <c r="E756" s="1" t="s">
        <v>3080</v>
      </c>
    </row>
    <row r="757" spans="1:7" x14ac:dyDescent="0.2">
      <c r="A757" s="1" t="s">
        <v>3081</v>
      </c>
      <c r="D757" s="1">
        <f>D755-D756</f>
        <v>6.5</v>
      </c>
      <c r="E757" s="1" t="s">
        <v>3082</v>
      </c>
      <c r="F757" s="1" t="s">
        <v>3497</v>
      </c>
    </row>
    <row r="759" spans="1:7" x14ac:dyDescent="0.2">
      <c r="A759" s="1" t="s">
        <v>3083</v>
      </c>
      <c r="D759" s="1">
        <v>12</v>
      </c>
    </row>
    <row r="761" spans="1:7" x14ac:dyDescent="0.2">
      <c r="A761" s="1" t="s">
        <v>3084</v>
      </c>
      <c r="D761" s="1">
        <f>D757*D759</f>
        <v>78</v>
      </c>
      <c r="E761" s="1" t="s">
        <v>3085</v>
      </c>
      <c r="F761" s="1" t="s">
        <v>3498</v>
      </c>
    </row>
    <row r="763" spans="1:7" x14ac:dyDescent="0.2">
      <c r="A763" s="1" t="s">
        <v>3086</v>
      </c>
      <c r="D763" s="156">
        <v>0.01</v>
      </c>
      <c r="E763" s="1" t="s">
        <v>1370</v>
      </c>
      <c r="G763" s="1" t="s">
        <v>3499</v>
      </c>
    </row>
    <row r="764" spans="1:7" x14ac:dyDescent="0.2">
      <c r="A764" s="1" t="s">
        <v>3087</v>
      </c>
      <c r="C764" s="121"/>
      <c r="D764" s="122">
        <f>D761</f>
        <v>78</v>
      </c>
      <c r="E764" s="1" t="s">
        <v>1371</v>
      </c>
      <c r="G764" s="1" t="s">
        <v>3500</v>
      </c>
    </row>
    <row r="765" spans="1:7" ht="17" thickBot="1" x14ac:dyDescent="0.25">
      <c r="A765" s="1" t="s">
        <v>1683</v>
      </c>
      <c r="D765" s="125">
        <f>2400</f>
        <v>2400</v>
      </c>
      <c r="E765" s="1" t="s">
        <v>1372</v>
      </c>
      <c r="G765" s="1" t="s">
        <v>3501</v>
      </c>
    </row>
    <row r="766" spans="1:7" ht="17" thickBot="1" x14ac:dyDescent="0.25">
      <c r="A766" s="143" t="s">
        <v>1685</v>
      </c>
      <c r="B766" s="144"/>
      <c r="C766" s="144"/>
      <c r="D766" s="315">
        <f>PV(D763,D764,D765,D767)</f>
        <v>-129555.50171668931</v>
      </c>
      <c r="E766" s="145" t="s">
        <v>1373</v>
      </c>
      <c r="G766" s="1" t="s">
        <v>3502</v>
      </c>
    </row>
    <row r="767" spans="1:7" x14ac:dyDescent="0.2">
      <c r="A767" s="1" t="s">
        <v>1684</v>
      </c>
      <c r="D767" s="122">
        <v>0</v>
      </c>
      <c r="E767" s="1" t="s">
        <v>1374</v>
      </c>
      <c r="G767" s="1" t="s">
        <v>3503</v>
      </c>
    </row>
    <row r="769" spans="1:8" x14ac:dyDescent="0.2">
      <c r="A769" s="1" t="s">
        <v>3088</v>
      </c>
    </row>
    <row r="770" spans="1:8" x14ac:dyDescent="0.2">
      <c r="A770" s="1" t="s">
        <v>3089</v>
      </c>
    </row>
    <row r="772" spans="1:8" x14ac:dyDescent="0.2">
      <c r="A772" s="1" t="s">
        <v>1375</v>
      </c>
      <c r="C772" s="25">
        <f>-D766</f>
        <v>129555.50171668931</v>
      </c>
      <c r="D772" s="1" t="s">
        <v>3090</v>
      </c>
    </row>
    <row r="773" spans="1:8" ht="17" thickBot="1" x14ac:dyDescent="0.25">
      <c r="A773" s="1" t="s">
        <v>1376</v>
      </c>
      <c r="C773" s="146">
        <f>D743</f>
        <v>134333.33333333334</v>
      </c>
    </row>
    <row r="774" spans="1:8" ht="17" thickBot="1" x14ac:dyDescent="0.25">
      <c r="A774" s="1" t="s">
        <v>1377</v>
      </c>
      <c r="C774" s="119">
        <f>C773-C772</f>
        <v>4777.8316166440345</v>
      </c>
      <c r="E774" s="1" t="s">
        <v>1378</v>
      </c>
    </row>
    <row r="776" spans="1:8" x14ac:dyDescent="0.2">
      <c r="A776" s="1" t="s">
        <v>1379</v>
      </c>
    </row>
    <row r="777" spans="1:8" x14ac:dyDescent="0.2">
      <c r="A777" s="1" t="s">
        <v>1380</v>
      </c>
    </row>
    <row r="779" spans="1:8" x14ac:dyDescent="0.2">
      <c r="A779" s="1" t="s">
        <v>3091</v>
      </c>
      <c r="D779" s="11">
        <v>12500</v>
      </c>
    </row>
    <row r="780" spans="1:8" ht="17" thickBot="1" x14ac:dyDescent="0.25">
      <c r="A780" s="1" t="s">
        <v>3092</v>
      </c>
      <c r="D780" s="11">
        <f>D779/7.5</f>
        <v>1666.6666666666667</v>
      </c>
      <c r="F780" s="1" t="s">
        <v>1357</v>
      </c>
    </row>
    <row r="781" spans="1:8" ht="17" thickBot="1" x14ac:dyDescent="0.25">
      <c r="A781" s="1" t="s">
        <v>3093</v>
      </c>
      <c r="D781" s="40">
        <f>D779-D780</f>
        <v>10833.333333333334</v>
      </c>
      <c r="E781" s="1" t="s">
        <v>3094</v>
      </c>
      <c r="H781" s="1" t="s">
        <v>3504</v>
      </c>
    </row>
    <row r="784" spans="1:8" x14ac:dyDescent="0.2">
      <c r="D784" s="1" t="s">
        <v>3095</v>
      </c>
    </row>
    <row r="785" spans="1:5" x14ac:dyDescent="0.2">
      <c r="D785" s="1" t="s">
        <v>3096</v>
      </c>
    </row>
    <row r="786" spans="1:5" x14ac:dyDescent="0.2">
      <c r="D786" s="17">
        <f>C774</f>
        <v>4777.8316166440345</v>
      </c>
    </row>
    <row r="789" spans="1:5" x14ac:dyDescent="0.2">
      <c r="C789" s="1" t="s">
        <v>3097</v>
      </c>
      <c r="E789" s="1" t="s">
        <v>3103</v>
      </c>
    </row>
    <row r="790" spans="1:5" x14ac:dyDescent="0.2">
      <c r="C790" s="1" t="s">
        <v>3098</v>
      </c>
      <c r="E790" s="1" t="s">
        <v>3104</v>
      </c>
    </row>
    <row r="791" spans="1:5" x14ac:dyDescent="0.2">
      <c r="C791" s="1" t="s">
        <v>3099</v>
      </c>
      <c r="E791" s="1" t="s">
        <v>3105</v>
      </c>
    </row>
    <row r="794" spans="1:5" x14ac:dyDescent="0.2">
      <c r="C794" s="1" t="s">
        <v>3100</v>
      </c>
      <c r="E794" s="1" t="s">
        <v>3106</v>
      </c>
    </row>
    <row r="795" spans="1:5" x14ac:dyDescent="0.2">
      <c r="C795" s="1" t="s">
        <v>3099</v>
      </c>
      <c r="E795" s="1" t="s">
        <v>3107</v>
      </c>
    </row>
    <row r="796" spans="1:5" x14ac:dyDescent="0.2">
      <c r="C796" s="1" t="s">
        <v>3101</v>
      </c>
      <c r="E796" s="1" t="s">
        <v>3108</v>
      </c>
    </row>
    <row r="797" spans="1:5" x14ac:dyDescent="0.2">
      <c r="C797" s="3" t="s">
        <v>3102</v>
      </c>
      <c r="E797" s="1" t="s">
        <v>3109</v>
      </c>
    </row>
    <row r="799" spans="1:5" x14ac:dyDescent="0.2">
      <c r="A799" s="1" t="s">
        <v>3111</v>
      </c>
    </row>
    <row r="800" spans="1:5" x14ac:dyDescent="0.2">
      <c r="A800" s="1" t="s">
        <v>3110</v>
      </c>
    </row>
    <row r="801" spans="1:4" ht="17" thickBot="1" x14ac:dyDescent="0.25"/>
    <row r="802" spans="1:4" x14ac:dyDescent="0.2">
      <c r="B802" s="46" t="s">
        <v>1381</v>
      </c>
      <c r="C802" s="32"/>
      <c r="D802" s="117">
        <f>C774</f>
        <v>4777.8316166440345</v>
      </c>
    </row>
    <row r="803" spans="1:4" ht="17" thickBot="1" x14ac:dyDescent="0.25">
      <c r="B803" s="36" t="s">
        <v>1382</v>
      </c>
      <c r="C803" s="37"/>
      <c r="D803" s="118">
        <f>D802</f>
        <v>4777.8316166440345</v>
      </c>
    </row>
    <row r="805" spans="1:4" x14ac:dyDescent="0.2">
      <c r="A805" s="3" t="s">
        <v>1686</v>
      </c>
    </row>
    <row r="806" spans="1:4" x14ac:dyDescent="0.2">
      <c r="A806" s="1" t="s">
        <v>3505</v>
      </c>
    </row>
    <row r="807" spans="1:4" x14ac:dyDescent="0.2">
      <c r="A807" s="1" t="s">
        <v>3506</v>
      </c>
    </row>
    <row r="808" spans="1:4" x14ac:dyDescent="0.2">
      <c r="A808" s="1" t="s">
        <v>1687</v>
      </c>
    </row>
    <row r="809" spans="1:4" x14ac:dyDescent="0.2">
      <c r="A809" s="1" t="s">
        <v>1688</v>
      </c>
    </row>
    <row r="810" spans="1:4" x14ac:dyDescent="0.2">
      <c r="A810" s="1" t="s">
        <v>1689</v>
      </c>
    </row>
  </sheetData>
  <mergeCells count="3">
    <mergeCell ref="A1:H1"/>
    <mergeCell ref="B613:D613"/>
    <mergeCell ref="E613:G613"/>
  </mergeCells>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E4C5E9-A6AC-1742-9702-62DDC9E8FED6}">
  <dimension ref="A1:T609"/>
  <sheetViews>
    <sheetView rightToLeft="1" topLeftCell="A220" zoomScale="298" zoomScaleNormal="310" workbookViewId="0">
      <selection activeCell="G597" sqref="G597"/>
    </sheetView>
  </sheetViews>
  <sheetFormatPr baseColWidth="10" defaultRowHeight="16" x14ac:dyDescent="0.2"/>
  <cols>
    <col min="1" max="8" width="10.83203125" style="1"/>
    <col min="9" max="9" width="18" style="1" bestFit="1" customWidth="1"/>
    <col min="10" max="13" width="10.83203125" style="1" customWidth="1"/>
    <col min="14" max="16384" width="10.83203125" style="1"/>
  </cols>
  <sheetData>
    <row r="1" spans="1:20" x14ac:dyDescent="0.2">
      <c r="A1" s="359" t="s">
        <v>3507</v>
      </c>
      <c r="B1" s="359"/>
      <c r="C1" s="359"/>
      <c r="D1" s="359"/>
      <c r="E1" s="359"/>
      <c r="F1" s="359"/>
      <c r="G1" s="359"/>
      <c r="H1" s="359"/>
    </row>
    <row r="3" spans="1:20" x14ac:dyDescent="0.2">
      <c r="A3" s="1" t="s">
        <v>1418</v>
      </c>
    </row>
    <row r="4" spans="1:20" x14ac:dyDescent="0.2">
      <c r="A4" s="1" t="s">
        <v>3115</v>
      </c>
    </row>
    <row r="5" spans="1:20" x14ac:dyDescent="0.2">
      <c r="A5" s="1" t="s">
        <v>3116</v>
      </c>
    </row>
    <row r="6" spans="1:20" x14ac:dyDescent="0.2">
      <c r="A6" s="1" t="s">
        <v>3117</v>
      </c>
    </row>
    <row r="7" spans="1:20" x14ac:dyDescent="0.2">
      <c r="A7" s="1" t="s">
        <v>3118</v>
      </c>
    </row>
    <row r="8" spans="1:20" x14ac:dyDescent="0.2">
      <c r="A8" s="1" t="s">
        <v>3119</v>
      </c>
    </row>
    <row r="10" spans="1:20" x14ac:dyDescent="0.2">
      <c r="A10" s="1" t="s">
        <v>1421</v>
      </c>
    </row>
    <row r="11" spans="1:20" x14ac:dyDescent="0.2">
      <c r="A11" s="1" t="s">
        <v>1422</v>
      </c>
    </row>
    <row r="12" spans="1:20" x14ac:dyDescent="0.2">
      <c r="A12" s="1" t="s">
        <v>1423</v>
      </c>
    </row>
    <row r="13" spans="1:20" x14ac:dyDescent="0.2">
      <c r="P13" s="7"/>
    </row>
    <row r="14" spans="1:20" x14ac:dyDescent="0.2">
      <c r="A14" s="130" t="s">
        <v>1424</v>
      </c>
      <c r="B14" s="130"/>
      <c r="C14" s="130"/>
      <c r="D14" s="130"/>
      <c r="E14" s="130"/>
      <c r="F14" s="130"/>
      <c r="G14" s="130"/>
      <c r="H14" s="130"/>
      <c r="P14" s="7"/>
    </row>
    <row r="15" spans="1:20" x14ac:dyDescent="0.2">
      <c r="A15" s="1" t="s">
        <v>1425</v>
      </c>
      <c r="T15" s="3" t="s">
        <v>3114</v>
      </c>
    </row>
    <row r="16" spans="1:20" x14ac:dyDescent="0.2">
      <c r="A16" s="1" t="s">
        <v>1426</v>
      </c>
    </row>
    <row r="17" spans="1:3" x14ac:dyDescent="0.2">
      <c r="A17" s="1" t="s">
        <v>1427</v>
      </c>
    </row>
    <row r="18" spans="1:3" x14ac:dyDescent="0.2">
      <c r="A18" s="1" t="s">
        <v>1428</v>
      </c>
    </row>
    <row r="19" spans="1:3" x14ac:dyDescent="0.2">
      <c r="A19" s="1" t="s">
        <v>1429</v>
      </c>
    </row>
    <row r="20" spans="1:3" x14ac:dyDescent="0.2">
      <c r="A20" s="1" t="s">
        <v>1430</v>
      </c>
    </row>
    <row r="21" spans="1:3" x14ac:dyDescent="0.2">
      <c r="A21" s="1" t="s">
        <v>1431</v>
      </c>
    </row>
    <row r="22" spans="1:3" x14ac:dyDescent="0.2">
      <c r="A22" s="1" t="s">
        <v>1432</v>
      </c>
    </row>
    <row r="23" spans="1:3" x14ac:dyDescent="0.2">
      <c r="A23" s="1" t="s">
        <v>1433</v>
      </c>
    </row>
    <row r="24" spans="1:3" x14ac:dyDescent="0.2">
      <c r="A24" s="1" t="s">
        <v>1434</v>
      </c>
    </row>
    <row r="25" spans="1:3" x14ac:dyDescent="0.2">
      <c r="A25" s="1" t="s">
        <v>1435</v>
      </c>
    </row>
    <row r="26" spans="1:3" x14ac:dyDescent="0.2">
      <c r="A26" s="1" t="s">
        <v>1436</v>
      </c>
    </row>
    <row r="27" spans="1:3" x14ac:dyDescent="0.2">
      <c r="A27" s="1" t="s">
        <v>1437</v>
      </c>
    </row>
    <row r="28" spans="1:3" x14ac:dyDescent="0.2">
      <c r="A28" s="1" t="s">
        <v>1438</v>
      </c>
    </row>
    <row r="29" spans="1:3" x14ac:dyDescent="0.2">
      <c r="A29" s="1" t="s">
        <v>1439</v>
      </c>
    </row>
    <row r="30" spans="1:3" x14ac:dyDescent="0.2">
      <c r="B30" s="10" t="s">
        <v>1440</v>
      </c>
      <c r="C30" s="10" t="s">
        <v>1441</v>
      </c>
    </row>
    <row r="31" spans="1:3" x14ac:dyDescent="0.2">
      <c r="A31" s="2">
        <v>39082</v>
      </c>
      <c r="B31" s="11">
        <v>420000</v>
      </c>
      <c r="C31" s="11">
        <v>440000</v>
      </c>
    </row>
    <row r="32" spans="1:3" x14ac:dyDescent="0.2">
      <c r="A32" s="2">
        <v>39447</v>
      </c>
      <c r="B32" s="11">
        <v>450000</v>
      </c>
      <c r="C32" s="11">
        <v>470000</v>
      </c>
    </row>
    <row r="33" spans="1:3" x14ac:dyDescent="0.2">
      <c r="A33" s="2">
        <v>39813</v>
      </c>
      <c r="B33" s="11">
        <v>355000</v>
      </c>
      <c r="C33" s="11">
        <v>250000</v>
      </c>
    </row>
    <row r="34" spans="1:3" x14ac:dyDescent="0.2">
      <c r="A34" s="2">
        <v>40178</v>
      </c>
      <c r="B34" s="11">
        <v>300000</v>
      </c>
      <c r="C34" s="11">
        <v>240000</v>
      </c>
    </row>
    <row r="35" spans="1:3" x14ac:dyDescent="0.2">
      <c r="A35" s="2">
        <v>40543</v>
      </c>
      <c r="B35" s="11">
        <v>330000</v>
      </c>
      <c r="C35" s="11">
        <v>300000</v>
      </c>
    </row>
    <row r="37" spans="1:3" x14ac:dyDescent="0.2">
      <c r="A37" s="1" t="s">
        <v>308</v>
      </c>
      <c r="B37" s="1" t="s">
        <v>1442</v>
      </c>
    </row>
    <row r="38" spans="1:3" x14ac:dyDescent="0.2">
      <c r="B38" s="1" t="s">
        <v>1443</v>
      </c>
    </row>
    <row r="39" spans="1:3" x14ac:dyDescent="0.2">
      <c r="A39" s="1" t="s">
        <v>1444</v>
      </c>
      <c r="B39" s="1" t="s">
        <v>1445</v>
      </c>
    </row>
    <row r="41" spans="1:3" x14ac:dyDescent="0.2">
      <c r="A41" s="1" t="s">
        <v>88</v>
      </c>
    </row>
    <row r="42" spans="1:3" x14ac:dyDescent="0.2">
      <c r="A42" s="1" t="s">
        <v>1446</v>
      </c>
    </row>
    <row r="43" spans="1:3" x14ac:dyDescent="0.2">
      <c r="A43" s="1" t="s">
        <v>3120</v>
      </c>
    </row>
    <row r="44" spans="1:3" x14ac:dyDescent="0.2">
      <c r="A44" s="1" t="s">
        <v>3121</v>
      </c>
    </row>
    <row r="45" spans="1:3" x14ac:dyDescent="0.2">
      <c r="A45" s="1" t="s">
        <v>1447</v>
      </c>
    </row>
    <row r="46" spans="1:3" x14ac:dyDescent="0.2">
      <c r="A46" s="1" t="s">
        <v>3521</v>
      </c>
    </row>
    <row r="48" spans="1:3" x14ac:dyDescent="0.2">
      <c r="A48" s="1" t="s">
        <v>683</v>
      </c>
    </row>
    <row r="49" spans="1:11" x14ac:dyDescent="0.2">
      <c r="A49" s="1" t="s">
        <v>3519</v>
      </c>
    </row>
    <row r="50" spans="1:11" x14ac:dyDescent="0.2">
      <c r="A50" s="1" t="s">
        <v>3520</v>
      </c>
    </row>
    <row r="51" spans="1:11" x14ac:dyDescent="0.2">
      <c r="A51" s="1" t="s">
        <v>3522</v>
      </c>
    </row>
    <row r="53" spans="1:11" x14ac:dyDescent="0.2">
      <c r="A53" s="4" t="s">
        <v>3523</v>
      </c>
      <c r="B53" s="4"/>
      <c r="C53" s="4"/>
      <c r="D53" s="4"/>
      <c r="E53" s="4"/>
      <c r="F53" s="4"/>
      <c r="G53" s="4"/>
      <c r="H53" s="4"/>
      <c r="I53" s="4"/>
      <c r="J53" s="4"/>
      <c r="K53" s="4"/>
    </row>
    <row r="54" spans="1:11" x14ac:dyDescent="0.2">
      <c r="G54" s="7" t="s">
        <v>3514</v>
      </c>
      <c r="H54" s="7"/>
      <c r="I54" s="7" t="s">
        <v>3517</v>
      </c>
      <c r="K54" s="7"/>
    </row>
    <row r="55" spans="1:11" x14ac:dyDescent="0.2">
      <c r="G55" s="7" t="s">
        <v>3515</v>
      </c>
      <c r="H55" s="7" t="s">
        <v>3516</v>
      </c>
      <c r="I55" s="7" t="s">
        <v>3518</v>
      </c>
      <c r="K55" s="7" t="s">
        <v>3514</v>
      </c>
    </row>
    <row r="56" spans="1:11" x14ac:dyDescent="0.2">
      <c r="B56" s="1" t="s">
        <v>3511</v>
      </c>
      <c r="C56" s="1" t="s">
        <v>3512</v>
      </c>
      <c r="D56" s="1" t="s">
        <v>3511</v>
      </c>
      <c r="E56" s="1" t="s">
        <v>3512</v>
      </c>
      <c r="F56" s="1" t="s">
        <v>3511</v>
      </c>
      <c r="G56" s="7" t="s">
        <v>3512</v>
      </c>
      <c r="H56" s="7" t="s">
        <v>1760</v>
      </c>
      <c r="I56" s="7" t="s">
        <v>3512</v>
      </c>
      <c r="J56" s="1" t="s">
        <v>3511</v>
      </c>
      <c r="K56" s="7" t="s">
        <v>3512</v>
      </c>
    </row>
    <row r="57" spans="1:11" x14ac:dyDescent="0.2">
      <c r="B57" s="14">
        <v>39082</v>
      </c>
      <c r="C57" s="14">
        <v>39082</v>
      </c>
      <c r="D57" s="14">
        <v>39447</v>
      </c>
      <c r="E57" s="14">
        <v>39447</v>
      </c>
      <c r="F57" s="14">
        <v>39813</v>
      </c>
      <c r="G57" s="108">
        <v>39813</v>
      </c>
      <c r="H57" s="108">
        <v>40178</v>
      </c>
      <c r="I57" s="108">
        <v>40178</v>
      </c>
      <c r="J57" s="14">
        <v>40543</v>
      </c>
      <c r="K57" s="108">
        <v>40543</v>
      </c>
    </row>
    <row r="58" spans="1:11" x14ac:dyDescent="0.2">
      <c r="A58" s="1" t="s">
        <v>117</v>
      </c>
      <c r="B58" s="42">
        <v>360000</v>
      </c>
      <c r="C58" s="42">
        <v>420000</v>
      </c>
      <c r="D58" s="42">
        <f>C58</f>
        <v>420000</v>
      </c>
      <c r="E58" s="42">
        <v>450000</v>
      </c>
      <c r="F58" s="42">
        <f>E58</f>
        <v>450000</v>
      </c>
      <c r="G58" s="42">
        <f>G61+G60</f>
        <v>300000</v>
      </c>
      <c r="H58" s="42">
        <f>G58</f>
        <v>300000</v>
      </c>
      <c r="I58" s="42">
        <f>H58</f>
        <v>300000</v>
      </c>
      <c r="J58" s="42">
        <f>I58</f>
        <v>300000</v>
      </c>
      <c r="K58" s="42">
        <f>K61</f>
        <v>330000</v>
      </c>
    </row>
    <row r="59" spans="1:11" x14ac:dyDescent="0.2">
      <c r="A59" s="1" t="s">
        <v>3508</v>
      </c>
      <c r="B59" s="7">
        <v>0</v>
      </c>
      <c r="C59" s="7">
        <v>0</v>
      </c>
      <c r="D59" s="7">
        <v>0</v>
      </c>
      <c r="E59" s="7">
        <v>0</v>
      </c>
      <c r="F59" s="7">
        <f>F63</f>
        <v>75000</v>
      </c>
      <c r="G59" s="7">
        <v>0</v>
      </c>
      <c r="H59" s="7">
        <f>H63+G60/5</f>
        <v>60000</v>
      </c>
      <c r="I59" s="7">
        <f>H59</f>
        <v>60000</v>
      </c>
      <c r="J59" s="7">
        <f>I59+J63</f>
        <v>120000</v>
      </c>
      <c r="K59" s="7">
        <v>0</v>
      </c>
    </row>
    <row r="60" spans="1:11" x14ac:dyDescent="0.2">
      <c r="A60" s="1" t="s">
        <v>1323</v>
      </c>
      <c r="B60" s="7">
        <v>0</v>
      </c>
      <c r="C60" s="7">
        <v>0</v>
      </c>
      <c r="D60" s="7">
        <v>0</v>
      </c>
      <c r="E60" s="7">
        <v>0</v>
      </c>
      <c r="F60" s="7">
        <v>0</v>
      </c>
      <c r="G60" s="42">
        <f>G64</f>
        <v>50000</v>
      </c>
      <c r="H60" s="7">
        <f>G60*4/5</f>
        <v>40000</v>
      </c>
      <c r="I60" s="42">
        <v>0</v>
      </c>
      <c r="J60" s="7">
        <v>0</v>
      </c>
      <c r="K60" s="42">
        <v>0</v>
      </c>
    </row>
    <row r="61" spans="1:11" x14ac:dyDescent="0.2">
      <c r="A61" s="1" t="s">
        <v>120</v>
      </c>
      <c r="B61" s="110">
        <f>B58</f>
        <v>360000</v>
      </c>
      <c r="C61" s="110">
        <f>B31</f>
        <v>420000</v>
      </c>
      <c r="D61" s="110">
        <f>D58</f>
        <v>420000</v>
      </c>
      <c r="E61" s="110">
        <v>450000</v>
      </c>
      <c r="F61" s="110">
        <f>F58-F59</f>
        <v>375000</v>
      </c>
      <c r="G61" s="110">
        <f>C33</f>
        <v>250000</v>
      </c>
      <c r="H61" s="110">
        <f>H58-H59-H60</f>
        <v>200000</v>
      </c>
      <c r="I61" s="110">
        <f>240000</f>
        <v>240000</v>
      </c>
      <c r="J61" s="110">
        <f>J58-J59-J60</f>
        <v>180000</v>
      </c>
      <c r="K61" s="110">
        <f>B35</f>
        <v>330000</v>
      </c>
    </row>
    <row r="62" spans="1:11" x14ac:dyDescent="0.2">
      <c r="B62" s="7"/>
      <c r="C62" s="7"/>
      <c r="D62" s="7"/>
      <c r="E62" s="7"/>
      <c r="F62" s="7"/>
      <c r="G62" s="7"/>
      <c r="H62" s="7"/>
      <c r="I62" s="7"/>
      <c r="J62" s="7"/>
      <c r="K62" s="7"/>
    </row>
    <row r="63" spans="1:11" x14ac:dyDescent="0.2">
      <c r="A63" s="1" t="s">
        <v>3509</v>
      </c>
      <c r="B63" s="7">
        <v>0</v>
      </c>
      <c r="C63" s="7">
        <v>0</v>
      </c>
      <c r="D63" s="7">
        <v>0</v>
      </c>
      <c r="E63" s="7">
        <v>0</v>
      </c>
      <c r="F63" s="7">
        <f>E61/6</f>
        <v>75000</v>
      </c>
      <c r="G63" s="7">
        <f>F63</f>
        <v>75000</v>
      </c>
      <c r="H63" s="7">
        <f>G61/5</f>
        <v>50000</v>
      </c>
      <c r="I63" s="7">
        <f>H63</f>
        <v>50000</v>
      </c>
      <c r="J63" s="7">
        <f>I61/4</f>
        <v>60000</v>
      </c>
      <c r="K63" s="7">
        <f>J63</f>
        <v>60000</v>
      </c>
    </row>
    <row r="64" spans="1:11" x14ac:dyDescent="0.2">
      <c r="A64" s="1" t="s">
        <v>318</v>
      </c>
      <c r="B64" s="7"/>
      <c r="C64" s="7"/>
      <c r="D64" s="7"/>
      <c r="E64" s="7"/>
      <c r="F64" s="7"/>
      <c r="G64" s="42">
        <f>F61-G61-F68</f>
        <v>50000</v>
      </c>
      <c r="H64" s="7"/>
      <c r="I64" s="42"/>
      <c r="J64" s="7"/>
      <c r="K64" s="42"/>
    </row>
    <row r="65" spans="1:11" x14ac:dyDescent="0.2">
      <c r="A65" s="1" t="s">
        <v>312</v>
      </c>
      <c r="B65" s="7"/>
      <c r="C65" s="7"/>
      <c r="D65" s="7"/>
      <c r="E65" s="7"/>
      <c r="F65" s="7"/>
      <c r="G65" s="7"/>
      <c r="H65" s="7"/>
      <c r="I65" s="7">
        <f>H60</f>
        <v>40000</v>
      </c>
      <c r="J65" s="7"/>
      <c r="K65" s="7"/>
    </row>
    <row r="66" spans="1:11" x14ac:dyDescent="0.2">
      <c r="B66" s="7"/>
      <c r="C66" s="7"/>
      <c r="D66" s="7"/>
      <c r="E66" s="7"/>
      <c r="F66" s="7"/>
      <c r="G66" s="7"/>
      <c r="H66" s="7"/>
      <c r="I66" s="7"/>
      <c r="J66" s="7"/>
      <c r="K66" s="7"/>
    </row>
    <row r="67" spans="1:11" x14ac:dyDescent="0.2">
      <c r="A67" s="1" t="s">
        <v>3040</v>
      </c>
      <c r="B67" s="7"/>
      <c r="C67" s="109">
        <f>C61-B61</f>
        <v>60000</v>
      </c>
      <c r="D67" s="109"/>
      <c r="E67" s="109">
        <f>E61-D61</f>
        <v>30000</v>
      </c>
      <c r="F67" s="109"/>
      <c r="G67" s="109">
        <f>-F68</f>
        <v>-75000</v>
      </c>
      <c r="H67" s="109"/>
      <c r="I67" s="109"/>
      <c r="J67" s="109"/>
      <c r="K67" s="109">
        <f>K61-J61</f>
        <v>150000</v>
      </c>
    </row>
    <row r="68" spans="1:11" x14ac:dyDescent="0.2">
      <c r="A68" s="1" t="s">
        <v>3510</v>
      </c>
      <c r="B68" s="7"/>
      <c r="C68" s="109">
        <f>C67</f>
        <v>60000</v>
      </c>
      <c r="D68" s="109">
        <f>C68</f>
        <v>60000</v>
      </c>
      <c r="E68" s="109">
        <f>E67+D68</f>
        <v>90000</v>
      </c>
      <c r="F68" s="109">
        <f>E68*5/6</f>
        <v>75000</v>
      </c>
      <c r="G68" s="109">
        <v>0</v>
      </c>
      <c r="H68" s="109"/>
      <c r="I68" s="109"/>
      <c r="J68" s="109"/>
      <c r="K68" s="109">
        <f>K67</f>
        <v>150000</v>
      </c>
    </row>
    <row r="69" spans="1:11" x14ac:dyDescent="0.2">
      <c r="B69" s="7"/>
      <c r="C69" s="109"/>
      <c r="D69" s="109"/>
      <c r="E69" s="109"/>
      <c r="F69" s="109"/>
      <c r="G69" s="109"/>
      <c r="H69" s="109"/>
      <c r="I69" s="109"/>
      <c r="J69" s="109"/>
      <c r="K69" s="109"/>
    </row>
    <row r="70" spans="1:11" x14ac:dyDescent="0.2">
      <c r="A70" s="1" t="s">
        <v>3513</v>
      </c>
      <c r="B70" s="7"/>
      <c r="C70" s="109"/>
      <c r="D70" s="109"/>
      <c r="E70" s="109"/>
      <c r="F70" s="109">
        <f>E68/6</f>
        <v>15000</v>
      </c>
      <c r="G70" s="109">
        <f>F70</f>
        <v>15000</v>
      </c>
      <c r="H70" s="109"/>
      <c r="I70" s="109"/>
      <c r="J70" s="109"/>
      <c r="K70" s="109"/>
    </row>
    <row r="72" spans="1:11" x14ac:dyDescent="0.2">
      <c r="A72" s="3" t="s">
        <v>3539</v>
      </c>
    </row>
    <row r="73" spans="1:11" x14ac:dyDescent="0.2">
      <c r="A73" s="1" t="s">
        <v>3534</v>
      </c>
      <c r="B73" s="1" t="s">
        <v>3524</v>
      </c>
    </row>
    <row r="74" spans="1:11" x14ac:dyDescent="0.2">
      <c r="B74" s="1">
        <v>1.1000000000000001</v>
      </c>
      <c r="C74" s="1" t="s">
        <v>3525</v>
      </c>
    </row>
    <row r="75" spans="1:11" x14ac:dyDescent="0.2">
      <c r="B75" s="1">
        <v>1.2</v>
      </c>
      <c r="C75" s="1" t="s">
        <v>3526</v>
      </c>
    </row>
    <row r="76" spans="1:11" x14ac:dyDescent="0.2">
      <c r="A76" s="1" t="s">
        <v>3535</v>
      </c>
      <c r="B76" s="1" t="s">
        <v>3527</v>
      </c>
    </row>
    <row r="77" spans="1:11" x14ac:dyDescent="0.2">
      <c r="A77" s="1" t="s">
        <v>3537</v>
      </c>
      <c r="B77" s="1" t="s">
        <v>3528</v>
      </c>
    </row>
    <row r="78" spans="1:11" x14ac:dyDescent="0.2">
      <c r="B78" s="1">
        <v>3.1</v>
      </c>
      <c r="C78" s="1" t="s">
        <v>3529</v>
      </c>
    </row>
    <row r="79" spans="1:11" x14ac:dyDescent="0.2">
      <c r="B79" s="1">
        <v>3.2</v>
      </c>
      <c r="C79" s="1" t="s">
        <v>3530</v>
      </c>
    </row>
    <row r="80" spans="1:11" x14ac:dyDescent="0.2">
      <c r="A80" s="1" t="s">
        <v>3536</v>
      </c>
      <c r="B80" s="1" t="s">
        <v>3531</v>
      </c>
    </row>
    <row r="81" spans="1:8" x14ac:dyDescent="0.2">
      <c r="B81" s="1">
        <v>4.0999999999999996</v>
      </c>
      <c r="C81" s="1" t="s">
        <v>3532</v>
      </c>
    </row>
    <row r="82" spans="1:8" x14ac:dyDescent="0.2">
      <c r="B82" s="1">
        <v>4.2</v>
      </c>
      <c r="C82" s="1" t="s">
        <v>3533</v>
      </c>
    </row>
    <row r="85" spans="1:8" ht="26" x14ac:dyDescent="0.3">
      <c r="A85" s="316" t="s">
        <v>3538</v>
      </c>
    </row>
    <row r="89" spans="1:8" x14ac:dyDescent="0.2">
      <c r="A89" s="4" t="s">
        <v>1448</v>
      </c>
      <c r="B89" s="4"/>
      <c r="C89" s="4"/>
      <c r="D89" s="4"/>
      <c r="E89" s="4"/>
      <c r="F89" s="4"/>
      <c r="G89" s="4"/>
      <c r="H89" s="4"/>
    </row>
    <row r="90" spans="1:8" x14ac:dyDescent="0.2">
      <c r="A90" s="3"/>
      <c r="B90" s="3"/>
      <c r="C90" s="3"/>
      <c r="D90" s="3"/>
      <c r="E90" s="3"/>
      <c r="F90" s="3"/>
      <c r="G90" s="3"/>
      <c r="H90" s="3"/>
    </row>
    <row r="91" spans="1:8" x14ac:dyDescent="0.2">
      <c r="A91" s="8" t="s">
        <v>3122</v>
      </c>
      <c r="B91" s="3"/>
      <c r="C91" s="3"/>
      <c r="D91" s="3"/>
      <c r="E91" s="3"/>
      <c r="F91" s="3"/>
      <c r="G91" s="3"/>
      <c r="H91" s="3"/>
    </row>
    <row r="92" spans="1:8" x14ac:dyDescent="0.2">
      <c r="A92" s="1" t="s">
        <v>1449</v>
      </c>
    </row>
    <row r="93" spans="1:8" x14ac:dyDescent="0.2">
      <c r="A93" s="1" t="s">
        <v>3123</v>
      </c>
    </row>
    <row r="95" spans="1:8" x14ac:dyDescent="0.2">
      <c r="A95" s="2">
        <v>38718</v>
      </c>
      <c r="B95" s="1" t="s">
        <v>1450</v>
      </c>
      <c r="D95" s="11">
        <v>360000</v>
      </c>
      <c r="H95" s="1" t="s">
        <v>1451</v>
      </c>
    </row>
    <row r="96" spans="1:8" x14ac:dyDescent="0.2">
      <c r="B96" s="1" t="s">
        <v>1452</v>
      </c>
      <c r="D96" s="11">
        <f>D95</f>
        <v>360000</v>
      </c>
    </row>
    <row r="98" spans="1:1" x14ac:dyDescent="0.2">
      <c r="A98" s="8" t="s">
        <v>3124</v>
      </c>
    </row>
    <row r="99" spans="1:1" x14ac:dyDescent="0.2">
      <c r="A99" s="1" t="s">
        <v>3125</v>
      </c>
    </row>
    <row r="100" spans="1:1" x14ac:dyDescent="0.2">
      <c r="A100" s="1" t="s">
        <v>3126</v>
      </c>
    </row>
    <row r="101" spans="1:1" x14ac:dyDescent="0.2">
      <c r="A101" s="147" t="s">
        <v>3127</v>
      </c>
    </row>
    <row r="102" spans="1:1" x14ac:dyDescent="0.2">
      <c r="A102" s="62" t="s">
        <v>3128</v>
      </c>
    </row>
    <row r="103" spans="1:1" x14ac:dyDescent="0.2">
      <c r="A103" s="62"/>
    </row>
    <row r="104" spans="1:1" x14ac:dyDescent="0.2">
      <c r="A104" s="238" t="s">
        <v>3129</v>
      </c>
    </row>
    <row r="105" spans="1:1" x14ac:dyDescent="0.2">
      <c r="A105" s="238" t="s">
        <v>3130</v>
      </c>
    </row>
    <row r="106" spans="1:1" x14ac:dyDescent="0.2">
      <c r="A106" s="62"/>
    </row>
    <row r="107" spans="1:1" x14ac:dyDescent="0.2">
      <c r="A107" s="62" t="s">
        <v>3131</v>
      </c>
    </row>
    <row r="108" spans="1:1" x14ac:dyDescent="0.2">
      <c r="A108" s="62" t="s">
        <v>3132</v>
      </c>
    </row>
    <row r="109" spans="1:1" x14ac:dyDescent="0.2">
      <c r="A109" s="3" t="s">
        <v>3135</v>
      </c>
    </row>
    <row r="110" spans="1:1" x14ac:dyDescent="0.2">
      <c r="A110" s="3" t="s">
        <v>3133</v>
      </c>
    </row>
    <row r="111" spans="1:1" x14ac:dyDescent="0.2">
      <c r="A111" s="3" t="s">
        <v>3134</v>
      </c>
    </row>
    <row r="113" spans="1:8" x14ac:dyDescent="0.2">
      <c r="A113" s="8" t="s">
        <v>1453</v>
      </c>
    </row>
    <row r="114" spans="1:8" x14ac:dyDescent="0.2">
      <c r="A114" s="1" t="s">
        <v>3136</v>
      </c>
    </row>
    <row r="115" spans="1:8" x14ac:dyDescent="0.2">
      <c r="A115" s="1" t="s">
        <v>1455</v>
      </c>
    </row>
    <row r="116" spans="1:8" x14ac:dyDescent="0.2">
      <c r="D116" s="14">
        <v>39082</v>
      </c>
    </row>
    <row r="117" spans="1:8" x14ac:dyDescent="0.2">
      <c r="B117" s="1" t="s">
        <v>120</v>
      </c>
      <c r="D117" s="11">
        <f>D95</f>
        <v>360000</v>
      </c>
      <c r="E117" s="1" t="s">
        <v>3137</v>
      </c>
    </row>
    <row r="118" spans="1:8" x14ac:dyDescent="0.2">
      <c r="B118" s="1" t="s">
        <v>168</v>
      </c>
      <c r="D118" s="11">
        <v>420000</v>
      </c>
    </row>
    <row r="119" spans="1:8" x14ac:dyDescent="0.2">
      <c r="B119" s="1" t="s">
        <v>1456</v>
      </c>
      <c r="D119" s="15">
        <f>D118-D117</f>
        <v>60000</v>
      </c>
    </row>
    <row r="121" spans="1:8" x14ac:dyDescent="0.2">
      <c r="A121" s="1" t="s">
        <v>3138</v>
      </c>
    </row>
    <row r="122" spans="1:8" x14ac:dyDescent="0.2">
      <c r="A122" s="1" t="s">
        <v>1457</v>
      </c>
    </row>
    <row r="123" spans="1:8" x14ac:dyDescent="0.2">
      <c r="A123" s="1" t="s">
        <v>1458</v>
      </c>
    </row>
    <row r="124" spans="1:8" x14ac:dyDescent="0.2">
      <c r="A124" s="1" t="s">
        <v>1459</v>
      </c>
    </row>
    <row r="125" spans="1:8" ht="17" thickBot="1" x14ac:dyDescent="0.25"/>
    <row r="126" spans="1:8" x14ac:dyDescent="0.2">
      <c r="A126" s="46" t="s">
        <v>1460</v>
      </c>
      <c r="B126" s="32"/>
      <c r="C126" s="32"/>
      <c r="D126" s="32"/>
      <c r="E126" s="32"/>
      <c r="F126" s="32"/>
      <c r="G126" s="32"/>
      <c r="H126" s="33"/>
    </row>
    <row r="127" spans="1:8" ht="17" thickBot="1" x14ac:dyDescent="0.25">
      <c r="A127" s="36" t="s">
        <v>1690</v>
      </c>
      <c r="B127" s="37"/>
      <c r="C127" s="37"/>
      <c r="D127" s="37"/>
      <c r="E127" s="37"/>
      <c r="F127" s="37"/>
      <c r="G127" s="37"/>
      <c r="H127" s="38"/>
    </row>
    <row r="129" spans="1:8" x14ac:dyDescent="0.2">
      <c r="A129" s="1" t="s">
        <v>3139</v>
      </c>
    </row>
    <row r="131" spans="1:8" x14ac:dyDescent="0.2">
      <c r="A131" s="2">
        <v>39082</v>
      </c>
      <c r="B131" s="1" t="s">
        <v>1450</v>
      </c>
      <c r="D131" s="11">
        <f>D119</f>
        <v>60000</v>
      </c>
    </row>
    <row r="132" spans="1:8" x14ac:dyDescent="0.2">
      <c r="B132" s="1" t="s">
        <v>1461</v>
      </c>
      <c r="D132" s="11">
        <f>D131</f>
        <v>60000</v>
      </c>
    </row>
    <row r="134" spans="1:8" x14ac:dyDescent="0.2">
      <c r="A134" s="8" t="s">
        <v>1462</v>
      </c>
    </row>
    <row r="135" spans="1:8" x14ac:dyDescent="0.2">
      <c r="A135" s="1" t="s">
        <v>1463</v>
      </c>
    </row>
    <row r="136" spans="1:8" x14ac:dyDescent="0.2">
      <c r="A136" s="1" t="s">
        <v>1464</v>
      </c>
    </row>
    <row r="137" spans="1:8" x14ac:dyDescent="0.2">
      <c r="A137" s="1" t="s">
        <v>1465</v>
      </c>
    </row>
    <row r="138" spans="1:8" ht="17" thickBot="1" x14ac:dyDescent="0.25"/>
    <row r="139" spans="1:8" x14ac:dyDescent="0.2">
      <c r="A139" s="46" t="s">
        <v>1691</v>
      </c>
      <c r="B139" s="32"/>
      <c r="C139" s="32"/>
      <c r="D139" s="32"/>
      <c r="E139" s="32"/>
      <c r="F139" s="32"/>
      <c r="G139" s="32"/>
      <c r="H139" s="33"/>
    </row>
    <row r="140" spans="1:8" x14ac:dyDescent="0.2">
      <c r="A140" s="34"/>
      <c r="B140" s="1" t="s">
        <v>1692</v>
      </c>
      <c r="H140" s="35"/>
    </row>
    <row r="141" spans="1:8" x14ac:dyDescent="0.2">
      <c r="A141" s="34"/>
      <c r="C141" s="1" t="s">
        <v>1693</v>
      </c>
      <c r="H141" s="35"/>
    </row>
    <row r="142" spans="1:8" x14ac:dyDescent="0.2">
      <c r="A142" s="34"/>
      <c r="D142" s="1" t="s">
        <v>1694</v>
      </c>
      <c r="H142" s="35"/>
    </row>
    <row r="143" spans="1:8" ht="17" thickBot="1" x14ac:dyDescent="0.25">
      <c r="A143" s="36"/>
      <c r="B143" s="37"/>
      <c r="C143" s="37"/>
      <c r="D143" s="37"/>
      <c r="E143" s="37" t="s">
        <v>1695</v>
      </c>
      <c r="F143" s="37"/>
      <c r="G143" s="37"/>
      <c r="H143" s="38"/>
    </row>
    <row r="145" spans="1:6" x14ac:dyDescent="0.2">
      <c r="A145" s="1" t="s">
        <v>1466</v>
      </c>
    </row>
    <row r="146" spans="1:6" x14ac:dyDescent="0.2">
      <c r="A146" s="1" t="s">
        <v>1467</v>
      </c>
    </row>
    <row r="147" spans="1:6" x14ac:dyDescent="0.2">
      <c r="D147" s="14">
        <v>39082</v>
      </c>
    </row>
    <row r="148" spans="1:6" x14ac:dyDescent="0.2">
      <c r="A148" s="1" t="s">
        <v>1696</v>
      </c>
      <c r="D148" s="11">
        <f>D118</f>
        <v>420000</v>
      </c>
      <c r="F148" s="1" t="s">
        <v>1699</v>
      </c>
    </row>
    <row r="149" spans="1:6" x14ac:dyDescent="0.2">
      <c r="A149" s="1" t="s">
        <v>1697</v>
      </c>
      <c r="D149" s="11">
        <v>360000</v>
      </c>
      <c r="F149" s="1" t="s">
        <v>1700</v>
      </c>
    </row>
    <row r="150" spans="1:6" x14ac:dyDescent="0.2">
      <c r="A150" s="62" t="s">
        <v>1698</v>
      </c>
      <c r="B150" s="59"/>
      <c r="C150" s="59"/>
      <c r="D150" s="85">
        <f>D148-D149</f>
        <v>60000</v>
      </c>
      <c r="F150" s="1" t="s">
        <v>1701</v>
      </c>
    </row>
    <row r="151" spans="1:6" s="62" customFormat="1" x14ac:dyDescent="0.2">
      <c r="A151" s="62" t="s">
        <v>1703</v>
      </c>
      <c r="D151" s="148">
        <v>0.3</v>
      </c>
      <c r="F151" s="62" t="s">
        <v>1702</v>
      </c>
    </row>
    <row r="152" spans="1:6" x14ac:dyDescent="0.2">
      <c r="A152" s="62" t="s">
        <v>1704</v>
      </c>
      <c r="B152" s="62"/>
      <c r="C152" s="62"/>
      <c r="D152" s="85">
        <f>D150*D151</f>
        <v>18000</v>
      </c>
    </row>
    <row r="154" spans="1:6" x14ac:dyDescent="0.2">
      <c r="A154" s="1" t="s">
        <v>1470</v>
      </c>
    </row>
    <row r="155" spans="1:6" x14ac:dyDescent="0.2">
      <c r="A155" s="1" t="s">
        <v>1471</v>
      </c>
    </row>
    <row r="157" spans="1:6" x14ac:dyDescent="0.2">
      <c r="A157" s="2">
        <v>39082</v>
      </c>
      <c r="B157" s="1" t="s">
        <v>1312</v>
      </c>
      <c r="D157" s="11">
        <f>D152</f>
        <v>18000</v>
      </c>
    </row>
    <row r="158" spans="1:6" x14ac:dyDescent="0.2">
      <c r="B158" s="1" t="s">
        <v>1472</v>
      </c>
      <c r="D158" s="11">
        <f>D157</f>
        <v>18000</v>
      </c>
    </row>
    <row r="160" spans="1:6" x14ac:dyDescent="0.2">
      <c r="A160" s="8" t="s">
        <v>1705</v>
      </c>
    </row>
    <row r="161" spans="1:8" x14ac:dyDescent="0.2">
      <c r="A161" s="8"/>
      <c r="B161" s="14">
        <v>39082</v>
      </c>
    </row>
    <row r="162" spans="1:8" x14ac:dyDescent="0.2">
      <c r="A162" s="1" t="s">
        <v>1474</v>
      </c>
      <c r="B162" s="11">
        <f>D148</f>
        <v>420000</v>
      </c>
      <c r="C162" s="1" t="s">
        <v>3140</v>
      </c>
    </row>
    <row r="163" spans="1:8" x14ac:dyDescent="0.2">
      <c r="A163" s="1" t="s">
        <v>691</v>
      </c>
      <c r="B163" s="1">
        <v>0</v>
      </c>
      <c r="C163" s="1" t="s">
        <v>3141</v>
      </c>
    </row>
    <row r="164" spans="1:8" ht="17" thickBot="1" x14ac:dyDescent="0.25">
      <c r="A164" s="1" t="s">
        <v>1205</v>
      </c>
      <c r="B164" s="1">
        <v>0</v>
      </c>
      <c r="C164" s="1" t="s">
        <v>3142</v>
      </c>
    </row>
    <row r="165" spans="1:8" ht="17" thickBot="1" x14ac:dyDescent="0.25">
      <c r="A165" s="1" t="s">
        <v>120</v>
      </c>
      <c r="B165" s="40">
        <f>B162</f>
        <v>420000</v>
      </c>
    </row>
    <row r="167" spans="1:8" x14ac:dyDescent="0.2">
      <c r="A167" s="1" t="s">
        <v>1475</v>
      </c>
      <c r="B167" s="11">
        <f>D132-D157</f>
        <v>42000</v>
      </c>
      <c r="D167" s="1" t="s">
        <v>1476</v>
      </c>
      <c r="E167" s="1" t="s">
        <v>3143</v>
      </c>
    </row>
    <row r="169" spans="1:8" x14ac:dyDescent="0.2">
      <c r="A169" s="1" t="s">
        <v>1477</v>
      </c>
      <c r="B169" s="11">
        <f>D157</f>
        <v>18000</v>
      </c>
      <c r="D169" s="1" t="s">
        <v>3144</v>
      </c>
    </row>
    <row r="171" spans="1:8" x14ac:dyDescent="0.2">
      <c r="A171" s="4" t="s">
        <v>1478</v>
      </c>
      <c r="B171" s="4"/>
      <c r="C171" s="4"/>
      <c r="D171" s="4"/>
      <c r="E171" s="4"/>
      <c r="F171" s="4"/>
      <c r="G171" s="4"/>
      <c r="H171" s="4"/>
    </row>
    <row r="172" spans="1:8" x14ac:dyDescent="0.2">
      <c r="A172" s="1" t="s">
        <v>1479</v>
      </c>
    </row>
    <row r="173" spans="1:8" ht="17" thickBot="1" x14ac:dyDescent="0.25"/>
    <row r="174" spans="1:8" x14ac:dyDescent="0.2">
      <c r="A174" s="46" t="s">
        <v>3145</v>
      </c>
      <c r="B174" s="32"/>
      <c r="C174" s="32"/>
      <c r="D174" s="32"/>
      <c r="E174" s="32"/>
      <c r="F174" s="32"/>
      <c r="G174" s="32"/>
      <c r="H174" s="33"/>
    </row>
    <row r="175" spans="1:8" x14ac:dyDescent="0.2">
      <c r="A175" s="34" t="s">
        <v>3146</v>
      </c>
      <c r="H175" s="35"/>
    </row>
    <row r="176" spans="1:8" x14ac:dyDescent="0.2">
      <c r="A176" s="34" t="s">
        <v>3147</v>
      </c>
      <c r="H176" s="35"/>
    </row>
    <row r="177" spans="1:8" ht="17" thickBot="1" x14ac:dyDescent="0.25">
      <c r="A177" s="36" t="s">
        <v>3148</v>
      </c>
      <c r="B177" s="37"/>
      <c r="C177" s="37"/>
      <c r="D177" s="37"/>
      <c r="E177" s="37"/>
      <c r="F177" s="37"/>
      <c r="G177" s="37"/>
      <c r="H177" s="38"/>
    </row>
    <row r="179" spans="1:8" x14ac:dyDescent="0.2">
      <c r="A179" s="1" t="s">
        <v>1480</v>
      </c>
    </row>
    <row r="180" spans="1:8" x14ac:dyDescent="0.2">
      <c r="A180" s="1" t="s">
        <v>1481</v>
      </c>
    </row>
    <row r="181" spans="1:8" x14ac:dyDescent="0.2">
      <c r="A181" s="1" t="s">
        <v>1482</v>
      </c>
    </row>
    <row r="182" spans="1:8" x14ac:dyDescent="0.2">
      <c r="A182" s="1" t="s">
        <v>1483</v>
      </c>
    </row>
    <row r="183" spans="1:8" x14ac:dyDescent="0.2">
      <c r="A183" s="1" t="s">
        <v>1484</v>
      </c>
    </row>
    <row r="185" spans="1:8" x14ac:dyDescent="0.2">
      <c r="A185" s="1" t="s">
        <v>1706</v>
      </c>
    </row>
    <row r="186" spans="1:8" x14ac:dyDescent="0.2">
      <c r="A186" s="1" t="s">
        <v>1707</v>
      </c>
    </row>
    <row r="187" spans="1:8" x14ac:dyDescent="0.2">
      <c r="A187" s="1" t="s">
        <v>1708</v>
      </c>
    </row>
    <row r="188" spans="1:8" x14ac:dyDescent="0.2">
      <c r="A188" s="1" t="s">
        <v>1709</v>
      </c>
    </row>
    <row r="190" spans="1:8" x14ac:dyDescent="0.2">
      <c r="A190" s="1" t="s">
        <v>1710</v>
      </c>
    </row>
    <row r="191" spans="1:8" x14ac:dyDescent="0.2">
      <c r="A191" s="1" t="s">
        <v>1711</v>
      </c>
    </row>
    <row r="193" spans="1:6" x14ac:dyDescent="0.2">
      <c r="A193" s="8" t="s">
        <v>3149</v>
      </c>
    </row>
    <row r="194" spans="1:6" x14ac:dyDescent="0.2">
      <c r="A194" s="62" t="s">
        <v>3150</v>
      </c>
    </row>
    <row r="196" spans="1:6" x14ac:dyDescent="0.2">
      <c r="A196" s="8" t="s">
        <v>1485</v>
      </c>
    </row>
    <row r="197" spans="1:6" x14ac:dyDescent="0.2">
      <c r="A197" s="1" t="s">
        <v>1454</v>
      </c>
    </row>
    <row r="198" spans="1:6" x14ac:dyDescent="0.2">
      <c r="A198" s="1" t="s">
        <v>1455</v>
      </c>
    </row>
    <row r="199" spans="1:6" x14ac:dyDescent="0.2">
      <c r="D199" s="14">
        <v>39447</v>
      </c>
    </row>
    <row r="200" spans="1:6" x14ac:dyDescent="0.2">
      <c r="B200" s="1" t="s">
        <v>3151</v>
      </c>
      <c r="D200" s="11">
        <v>420000</v>
      </c>
      <c r="E200" s="1" t="s">
        <v>1486</v>
      </c>
    </row>
    <row r="201" spans="1:6" x14ac:dyDescent="0.2">
      <c r="B201" s="1" t="s">
        <v>1712</v>
      </c>
      <c r="D201" s="11">
        <v>450000</v>
      </c>
      <c r="E201" s="1" t="s">
        <v>2482</v>
      </c>
    </row>
    <row r="202" spans="1:6" x14ac:dyDescent="0.2">
      <c r="B202" s="1" t="s">
        <v>1456</v>
      </c>
      <c r="D202" s="15">
        <f>D201-D200</f>
        <v>30000</v>
      </c>
      <c r="F202" s="1" t="s">
        <v>3152</v>
      </c>
    </row>
    <row r="204" spans="1:6" x14ac:dyDescent="0.2">
      <c r="A204" s="1" t="s">
        <v>3153</v>
      </c>
    </row>
    <row r="206" spans="1:6" x14ac:dyDescent="0.2">
      <c r="A206" s="2">
        <v>39447</v>
      </c>
      <c r="B206" s="1" t="s">
        <v>1450</v>
      </c>
      <c r="D206" s="11">
        <f>D202</f>
        <v>30000</v>
      </c>
    </row>
    <row r="207" spans="1:6" x14ac:dyDescent="0.2">
      <c r="B207" s="1" t="s">
        <v>1461</v>
      </c>
      <c r="D207" s="11">
        <f>D206</f>
        <v>30000</v>
      </c>
    </row>
    <row r="209" spans="1:6" x14ac:dyDescent="0.2">
      <c r="A209" s="8" t="s">
        <v>3154</v>
      </c>
    </row>
    <row r="210" spans="1:6" x14ac:dyDescent="0.2">
      <c r="A210" s="1" t="s">
        <v>3155</v>
      </c>
    </row>
    <row r="211" spans="1:6" x14ac:dyDescent="0.2">
      <c r="A211" s="1" t="s">
        <v>3156</v>
      </c>
    </row>
    <row r="213" spans="1:6" x14ac:dyDescent="0.2">
      <c r="A213" s="8" t="s">
        <v>1487</v>
      </c>
    </row>
    <row r="214" spans="1:6" x14ac:dyDescent="0.2">
      <c r="A214" s="1" t="s">
        <v>1488</v>
      </c>
    </row>
    <row r="215" spans="1:6" x14ac:dyDescent="0.2">
      <c r="A215" s="1" t="s">
        <v>1489</v>
      </c>
    </row>
    <row r="216" spans="1:6" x14ac:dyDescent="0.2">
      <c r="A216" s="1" t="s">
        <v>3157</v>
      </c>
    </row>
    <row r="218" spans="1:6" x14ac:dyDescent="0.2">
      <c r="A218" s="2">
        <v>39447</v>
      </c>
      <c r="B218" s="1" t="s">
        <v>1312</v>
      </c>
      <c r="D218" s="11">
        <v>9000</v>
      </c>
      <c r="F218" s="1" t="s">
        <v>1490</v>
      </c>
    </row>
    <row r="219" spans="1:6" x14ac:dyDescent="0.2">
      <c r="B219" s="1" t="s">
        <v>1472</v>
      </c>
      <c r="D219" s="11">
        <f>D218</f>
        <v>9000</v>
      </c>
    </row>
    <row r="221" spans="1:6" x14ac:dyDescent="0.2">
      <c r="A221" s="1" t="s">
        <v>1491</v>
      </c>
      <c r="C221" s="14">
        <v>39082</v>
      </c>
      <c r="E221" s="14">
        <v>39447</v>
      </c>
    </row>
    <row r="222" spans="1:6" x14ac:dyDescent="0.2">
      <c r="B222" s="1" t="s">
        <v>1492</v>
      </c>
      <c r="C222" s="11">
        <v>420000</v>
      </c>
      <c r="E222" s="11">
        <v>450000</v>
      </c>
    </row>
    <row r="223" spans="1:6" x14ac:dyDescent="0.2">
      <c r="B223" s="1" t="s">
        <v>1468</v>
      </c>
      <c r="C223" s="11">
        <v>360000</v>
      </c>
      <c r="E223" s="11">
        <f>C223</f>
        <v>360000</v>
      </c>
    </row>
    <row r="224" spans="1:6" x14ac:dyDescent="0.2">
      <c r="B224" s="1" t="s">
        <v>1493</v>
      </c>
      <c r="C224" s="15">
        <f>C222-C223</f>
        <v>60000</v>
      </c>
      <c r="E224" s="15">
        <f>E222-E223</f>
        <v>90000</v>
      </c>
    </row>
    <row r="225" spans="1:5" x14ac:dyDescent="0.2">
      <c r="B225" s="1" t="s">
        <v>1469</v>
      </c>
      <c r="C225" s="120">
        <v>0.3</v>
      </c>
      <c r="E225" s="120">
        <v>0.3</v>
      </c>
    </row>
    <row r="226" spans="1:5" x14ac:dyDescent="0.2">
      <c r="B226" s="1" t="s">
        <v>1477</v>
      </c>
      <c r="C226" s="15">
        <f>C224*C225</f>
        <v>18000</v>
      </c>
      <c r="E226" s="15">
        <f>E225*E224</f>
        <v>27000</v>
      </c>
    </row>
    <row r="229" spans="1:5" x14ac:dyDescent="0.2">
      <c r="C229" s="1" t="s">
        <v>1494</v>
      </c>
    </row>
    <row r="230" spans="1:5" x14ac:dyDescent="0.2">
      <c r="C230" s="1" t="s">
        <v>1495</v>
      </c>
    </row>
    <row r="231" spans="1:5" x14ac:dyDescent="0.2">
      <c r="C231" s="1" t="s">
        <v>1496</v>
      </c>
    </row>
    <row r="232" spans="1:5" x14ac:dyDescent="0.2">
      <c r="C232" s="1" t="s">
        <v>1497</v>
      </c>
    </row>
    <row r="234" spans="1:5" x14ac:dyDescent="0.2">
      <c r="A234" s="8" t="s">
        <v>1473</v>
      </c>
    </row>
    <row r="235" spans="1:5" x14ac:dyDescent="0.2">
      <c r="A235" s="8"/>
      <c r="B235" s="14">
        <v>39082</v>
      </c>
      <c r="C235" s="131">
        <v>39447</v>
      </c>
    </row>
    <row r="236" spans="1:5" x14ac:dyDescent="0.2">
      <c r="A236" s="1" t="s">
        <v>1474</v>
      </c>
      <c r="B236" s="11">
        <v>420000</v>
      </c>
      <c r="C236" s="132">
        <f>E222</f>
        <v>450000</v>
      </c>
      <c r="D236" s="1" t="s">
        <v>3158</v>
      </c>
    </row>
    <row r="237" spans="1:5" x14ac:dyDescent="0.2">
      <c r="A237" s="1" t="s">
        <v>691</v>
      </c>
      <c r="B237" s="1">
        <v>0</v>
      </c>
      <c r="C237" s="66">
        <v>0</v>
      </c>
      <c r="D237" s="1" t="s">
        <v>3159</v>
      </c>
    </row>
    <row r="238" spans="1:5" ht="17" thickBot="1" x14ac:dyDescent="0.25">
      <c r="A238" s="1" t="s">
        <v>1205</v>
      </c>
      <c r="B238" s="1">
        <v>0</v>
      </c>
      <c r="C238" s="66">
        <v>0</v>
      </c>
      <c r="D238" s="1" t="s">
        <v>3160</v>
      </c>
    </row>
    <row r="239" spans="1:5" ht="17" thickBot="1" x14ac:dyDescent="0.25">
      <c r="A239" s="1" t="s">
        <v>120</v>
      </c>
      <c r="B239" s="40">
        <v>420000</v>
      </c>
      <c r="C239" s="133">
        <f>C236</f>
        <v>450000</v>
      </c>
    </row>
    <row r="240" spans="1:5" x14ac:dyDescent="0.2">
      <c r="C240" s="66"/>
    </row>
    <row r="241" spans="1:8" x14ac:dyDescent="0.2">
      <c r="A241" s="1" t="s">
        <v>1475</v>
      </c>
      <c r="B241" s="11">
        <v>42000</v>
      </c>
      <c r="C241" s="132">
        <f>42000+30000-9000</f>
        <v>63000</v>
      </c>
      <c r="F241" s="1" t="s">
        <v>1498</v>
      </c>
      <c r="H241" s="11" t="s">
        <v>3188</v>
      </c>
    </row>
    <row r="242" spans="1:8" x14ac:dyDescent="0.2">
      <c r="C242" s="66"/>
    </row>
    <row r="243" spans="1:8" x14ac:dyDescent="0.2">
      <c r="A243" s="1" t="s">
        <v>1477</v>
      </c>
      <c r="B243" s="11">
        <v>18000</v>
      </c>
      <c r="C243" s="132">
        <f>E226</f>
        <v>27000</v>
      </c>
      <c r="E243" s="1" t="s">
        <v>3162</v>
      </c>
    </row>
    <row r="244" spans="1:8" x14ac:dyDescent="0.2">
      <c r="B244" s="11"/>
      <c r="C244" s="132"/>
      <c r="E244" s="1" t="s">
        <v>3163</v>
      </c>
      <c r="F244" s="1" t="s">
        <v>3161</v>
      </c>
    </row>
    <row r="245" spans="1:8" x14ac:dyDescent="0.2">
      <c r="B245" s="11"/>
      <c r="C245" s="132"/>
      <c r="D245" s="1" t="s">
        <v>3166</v>
      </c>
      <c r="E245" s="1" t="s">
        <v>3164</v>
      </c>
    </row>
    <row r="246" spans="1:8" x14ac:dyDescent="0.2">
      <c r="B246" s="11"/>
      <c r="C246" s="132" t="s">
        <v>3168</v>
      </c>
      <c r="D246" s="1" t="s">
        <v>3167</v>
      </c>
      <c r="E246" s="1" t="s">
        <v>3165</v>
      </c>
    </row>
    <row r="247" spans="1:8" x14ac:dyDescent="0.2">
      <c r="B247" s="11"/>
      <c r="C247" s="132" t="s">
        <v>3169</v>
      </c>
      <c r="D247" s="1" t="s">
        <v>2451</v>
      </c>
      <c r="H247" s="1" t="s">
        <v>3540</v>
      </c>
    </row>
    <row r="248" spans="1:8" x14ac:dyDescent="0.2">
      <c r="B248" s="11"/>
      <c r="C248" s="132" t="s">
        <v>3170</v>
      </c>
      <c r="H248" s="1" t="s">
        <v>3541</v>
      </c>
    </row>
    <row r="249" spans="1:8" x14ac:dyDescent="0.2">
      <c r="H249" s="1" t="s">
        <v>3542</v>
      </c>
    </row>
    <row r="250" spans="1:8" ht="17" thickBot="1" x14ac:dyDescent="0.25"/>
    <row r="251" spans="1:8" x14ac:dyDescent="0.2">
      <c r="A251" s="47" t="s">
        <v>3171</v>
      </c>
      <c r="B251" s="48"/>
      <c r="C251" s="48"/>
      <c r="D251" s="48"/>
      <c r="E251" s="48"/>
      <c r="F251" s="48"/>
      <c r="G251" s="48"/>
      <c r="H251" s="49"/>
    </row>
    <row r="252" spans="1:8" x14ac:dyDescent="0.2">
      <c r="A252" s="50" t="s">
        <v>3175</v>
      </c>
      <c r="B252" s="21"/>
      <c r="C252" s="21"/>
      <c r="D252" s="21"/>
      <c r="E252" s="21"/>
      <c r="F252" s="21"/>
      <c r="G252" s="21"/>
      <c r="H252" s="51"/>
    </row>
    <row r="253" spans="1:8" x14ac:dyDescent="0.2">
      <c r="A253" s="50" t="s">
        <v>3172</v>
      </c>
      <c r="B253" s="21"/>
      <c r="C253" s="21"/>
      <c r="D253" s="21"/>
      <c r="E253" s="21"/>
      <c r="F253" s="21"/>
      <c r="G253" s="21"/>
      <c r="H253" s="51"/>
    </row>
    <row r="254" spans="1:8" x14ac:dyDescent="0.2">
      <c r="A254" s="50" t="s">
        <v>3173</v>
      </c>
      <c r="B254" s="21"/>
      <c r="C254" s="21"/>
      <c r="D254" s="21"/>
      <c r="E254" s="21"/>
      <c r="F254" s="21"/>
      <c r="G254" s="21"/>
      <c r="H254" s="51"/>
    </row>
    <row r="255" spans="1:8" ht="17" thickBot="1" x14ac:dyDescent="0.25">
      <c r="A255" s="52" t="s">
        <v>3174</v>
      </c>
      <c r="B255" s="53"/>
      <c r="C255" s="53"/>
      <c r="D255" s="53"/>
      <c r="E255" s="53"/>
      <c r="F255" s="53"/>
      <c r="G255" s="53"/>
      <c r="H255" s="54"/>
    </row>
    <row r="257" spans="1:8" x14ac:dyDescent="0.2">
      <c r="A257" s="4" t="s">
        <v>1499</v>
      </c>
      <c r="B257" s="4"/>
      <c r="C257" s="4"/>
      <c r="D257" s="4"/>
      <c r="E257" s="4"/>
      <c r="F257" s="4"/>
      <c r="G257" s="4"/>
      <c r="H257" s="4"/>
    </row>
    <row r="258" spans="1:8" x14ac:dyDescent="0.2">
      <c r="A258" s="3"/>
      <c r="B258" s="3"/>
      <c r="C258" s="3"/>
      <c r="D258" s="3"/>
      <c r="E258" s="3"/>
      <c r="F258" s="3"/>
      <c r="G258" s="3"/>
      <c r="H258" s="3"/>
    </row>
    <row r="259" spans="1:8" x14ac:dyDescent="0.2">
      <c r="A259" s="3" t="s">
        <v>1500</v>
      </c>
      <c r="B259" s="3"/>
      <c r="C259" s="3"/>
      <c r="D259" s="3"/>
      <c r="E259" s="3"/>
      <c r="F259" s="3"/>
      <c r="G259" s="3"/>
      <c r="H259" s="3"/>
    </row>
    <row r="260" spans="1:8" x14ac:dyDescent="0.2">
      <c r="A260" s="1" t="s">
        <v>1501</v>
      </c>
    </row>
    <row r="261" spans="1:8" x14ac:dyDescent="0.2">
      <c r="A261" s="1" t="s">
        <v>1502</v>
      </c>
    </row>
    <row r="263" spans="1:8" x14ac:dyDescent="0.2">
      <c r="A263" s="1" t="s">
        <v>1503</v>
      </c>
    </row>
    <row r="264" spans="1:8" x14ac:dyDescent="0.2">
      <c r="A264" s="1" t="s">
        <v>1504</v>
      </c>
    </row>
    <row r="266" spans="1:8" x14ac:dyDescent="0.2">
      <c r="A266" s="1" t="s">
        <v>1505</v>
      </c>
    </row>
    <row r="267" spans="1:8" x14ac:dyDescent="0.2">
      <c r="A267" s="1" t="s">
        <v>1506</v>
      </c>
    </row>
    <row r="269" spans="1:8" x14ac:dyDescent="0.2">
      <c r="A269" s="1" t="s">
        <v>1507</v>
      </c>
    </row>
    <row r="270" spans="1:8" x14ac:dyDescent="0.2">
      <c r="A270" s="1" t="s">
        <v>1508</v>
      </c>
    </row>
    <row r="271" spans="1:8" x14ac:dyDescent="0.2">
      <c r="A271" s="1" t="s">
        <v>1509</v>
      </c>
    </row>
    <row r="272" spans="1:8" ht="17" thickBot="1" x14ac:dyDescent="0.25"/>
    <row r="273" spans="1:8" x14ac:dyDescent="0.2">
      <c r="A273" s="225" t="s">
        <v>3176</v>
      </c>
      <c r="B273" s="239"/>
      <c r="C273" s="239"/>
      <c r="D273" s="239"/>
      <c r="E273" s="239"/>
      <c r="F273" s="239"/>
      <c r="G273" s="239"/>
      <c r="H273" s="240"/>
    </row>
    <row r="274" spans="1:8" ht="17" thickBot="1" x14ac:dyDescent="0.25">
      <c r="A274" s="227" t="s">
        <v>3177</v>
      </c>
      <c r="B274" s="229"/>
      <c r="C274" s="229"/>
      <c r="D274" s="229"/>
      <c r="E274" s="229"/>
      <c r="F274" s="229"/>
      <c r="G274" s="229"/>
      <c r="H274" s="241"/>
    </row>
    <row r="276" spans="1:8" x14ac:dyDescent="0.2">
      <c r="A276" s="1" t="s">
        <v>1510</v>
      </c>
    </row>
    <row r="277" spans="1:8" x14ac:dyDescent="0.2">
      <c r="A277" s="1" t="s">
        <v>1511</v>
      </c>
    </row>
    <row r="279" spans="1:8" x14ac:dyDescent="0.2">
      <c r="A279" s="8" t="s">
        <v>1512</v>
      </c>
    </row>
    <row r="280" spans="1:8" x14ac:dyDescent="0.2">
      <c r="A280" s="62" t="s">
        <v>3178</v>
      </c>
    </row>
    <row r="281" spans="1:8" ht="17" thickBot="1" x14ac:dyDescent="0.25">
      <c r="A281" s="62"/>
    </row>
    <row r="282" spans="1:8" x14ac:dyDescent="0.2">
      <c r="A282" s="8"/>
      <c r="B282" s="14">
        <v>39082</v>
      </c>
      <c r="C282" s="246">
        <v>39447</v>
      </c>
    </row>
    <row r="283" spans="1:8" x14ac:dyDescent="0.2">
      <c r="A283" s="1" t="s">
        <v>1474</v>
      </c>
      <c r="B283" s="11">
        <v>420000</v>
      </c>
      <c r="C283" s="243">
        <v>450000</v>
      </c>
    </row>
    <row r="284" spans="1:8" x14ac:dyDescent="0.2">
      <c r="A284" s="1" t="s">
        <v>691</v>
      </c>
      <c r="B284" s="1">
        <v>0</v>
      </c>
      <c r="C284" s="244">
        <v>0</v>
      </c>
    </row>
    <row r="285" spans="1:8" ht="17" thickBot="1" x14ac:dyDescent="0.25">
      <c r="A285" s="1" t="s">
        <v>1205</v>
      </c>
      <c r="B285" s="1">
        <v>0</v>
      </c>
      <c r="C285" s="244">
        <v>0</v>
      </c>
    </row>
    <row r="286" spans="1:8" ht="17" thickBot="1" x14ac:dyDescent="0.25">
      <c r="A286" s="1" t="s">
        <v>120</v>
      </c>
      <c r="B286" s="242">
        <v>420000</v>
      </c>
      <c r="C286" s="133">
        <v>450000</v>
      </c>
    </row>
    <row r="287" spans="1:8" x14ac:dyDescent="0.2">
      <c r="C287" s="244"/>
    </row>
    <row r="288" spans="1:8" x14ac:dyDescent="0.2">
      <c r="A288" s="1" t="s">
        <v>1475</v>
      </c>
      <c r="B288" s="11">
        <v>42000</v>
      </c>
      <c r="C288" s="243">
        <v>63000</v>
      </c>
    </row>
    <row r="289" spans="1:6" x14ac:dyDescent="0.2">
      <c r="C289" s="244"/>
    </row>
    <row r="290" spans="1:6" ht="17" thickBot="1" x14ac:dyDescent="0.25">
      <c r="A290" s="1" t="s">
        <v>1477</v>
      </c>
      <c r="B290" s="11">
        <v>18000</v>
      </c>
      <c r="C290" s="245">
        <v>27000</v>
      </c>
    </row>
    <row r="291" spans="1:6" x14ac:dyDescent="0.2">
      <c r="A291" s="62"/>
    </row>
    <row r="292" spans="1:6" x14ac:dyDescent="0.2">
      <c r="A292" s="1" t="s">
        <v>1513</v>
      </c>
    </row>
    <row r="293" spans="1:6" x14ac:dyDescent="0.2">
      <c r="A293" s="2">
        <v>39813</v>
      </c>
      <c r="B293" s="1" t="s">
        <v>1514</v>
      </c>
      <c r="D293" s="11">
        <f>450000/6</f>
        <v>75000</v>
      </c>
      <c r="F293" s="1" t="s">
        <v>1515</v>
      </c>
    </row>
    <row r="294" spans="1:6" x14ac:dyDescent="0.2">
      <c r="B294" s="1" t="s">
        <v>1516</v>
      </c>
      <c r="D294" s="11">
        <f>D293</f>
        <v>75000</v>
      </c>
    </row>
    <row r="297" spans="1:6" x14ac:dyDescent="0.2">
      <c r="E297" s="1" t="s">
        <v>1517</v>
      </c>
      <c r="F297" s="1" t="s">
        <v>1518</v>
      </c>
    </row>
    <row r="298" spans="1:6" x14ac:dyDescent="0.2">
      <c r="E298" s="1" t="s">
        <v>1519</v>
      </c>
      <c r="F298" s="1" t="s">
        <v>1520</v>
      </c>
    </row>
    <row r="299" spans="1:6" x14ac:dyDescent="0.2">
      <c r="E299" s="1" t="s">
        <v>1521</v>
      </c>
    </row>
    <row r="300" spans="1:6" x14ac:dyDescent="0.2">
      <c r="E300" s="1" t="s">
        <v>1522</v>
      </c>
    </row>
    <row r="301" spans="1:6" x14ac:dyDescent="0.2">
      <c r="E301" s="1" t="s">
        <v>1523</v>
      </c>
    </row>
    <row r="303" spans="1:6" x14ac:dyDescent="0.2">
      <c r="A303" s="8" t="s">
        <v>1524</v>
      </c>
    </row>
    <row r="304" spans="1:6" x14ac:dyDescent="0.2">
      <c r="A304" s="1" t="s">
        <v>1525</v>
      </c>
    </row>
    <row r="305" spans="1:6" x14ac:dyDescent="0.2">
      <c r="A305" s="1" t="s">
        <v>1526</v>
      </c>
    </row>
    <row r="306" spans="1:6" x14ac:dyDescent="0.2">
      <c r="A306" s="1" t="s">
        <v>1527</v>
      </c>
    </row>
    <row r="307" spans="1:6" x14ac:dyDescent="0.2">
      <c r="A307" s="1" t="s">
        <v>1528</v>
      </c>
    </row>
    <row r="309" spans="1:6" x14ac:dyDescent="0.2">
      <c r="A309" s="2">
        <v>39813</v>
      </c>
      <c r="B309" s="1" t="s">
        <v>1312</v>
      </c>
      <c r="D309" s="11">
        <f>C241/6</f>
        <v>10500</v>
      </c>
      <c r="F309" s="11" t="s">
        <v>1529</v>
      </c>
    </row>
    <row r="310" spans="1:6" x14ac:dyDescent="0.2">
      <c r="B310" s="1" t="s">
        <v>1530</v>
      </c>
      <c r="D310" s="11">
        <f>D309</f>
        <v>10500</v>
      </c>
    </row>
    <row r="312" spans="1:6" x14ac:dyDescent="0.2">
      <c r="E312" s="1" t="s">
        <v>1517</v>
      </c>
      <c r="F312" s="1" t="s">
        <v>1531</v>
      </c>
    </row>
    <row r="313" spans="1:6" x14ac:dyDescent="0.2">
      <c r="E313" s="1" t="s">
        <v>1519</v>
      </c>
      <c r="F313" s="1" t="s">
        <v>1532</v>
      </c>
    </row>
    <row r="314" spans="1:6" x14ac:dyDescent="0.2">
      <c r="E314" s="1" t="s">
        <v>1521</v>
      </c>
      <c r="F314" s="1" t="s">
        <v>1533</v>
      </c>
    </row>
    <row r="315" spans="1:6" x14ac:dyDescent="0.2">
      <c r="E315" s="1" t="s">
        <v>1522</v>
      </c>
    </row>
    <row r="316" spans="1:6" x14ac:dyDescent="0.2">
      <c r="E316" s="1" t="s">
        <v>1523</v>
      </c>
    </row>
    <row r="318" spans="1:6" x14ac:dyDescent="0.2">
      <c r="A318" s="8" t="s">
        <v>1534</v>
      </c>
    </row>
    <row r="319" spans="1:6" x14ac:dyDescent="0.2">
      <c r="A319" s="1" t="s">
        <v>1535</v>
      </c>
    </row>
    <row r="320" spans="1:6" x14ac:dyDescent="0.2">
      <c r="A320" s="1" t="s">
        <v>1536</v>
      </c>
    </row>
    <row r="322" spans="1:6" x14ac:dyDescent="0.2">
      <c r="A322" s="1" t="s">
        <v>1537</v>
      </c>
    </row>
    <row r="323" spans="1:6" x14ac:dyDescent="0.2">
      <c r="A323" s="1" t="s">
        <v>1538</v>
      </c>
    </row>
    <row r="325" spans="1:6" x14ac:dyDescent="0.2">
      <c r="B325" s="10" t="s">
        <v>1540</v>
      </c>
      <c r="C325" s="10"/>
      <c r="E325" s="134" t="s">
        <v>1541</v>
      </c>
      <c r="F325" s="10"/>
    </row>
    <row r="326" spans="1:6" x14ac:dyDescent="0.2">
      <c r="B326" s="1" t="s">
        <v>1542</v>
      </c>
      <c r="C326" s="11">
        <v>450000</v>
      </c>
      <c r="E326" s="11" t="s">
        <v>1542</v>
      </c>
      <c r="F326" s="11">
        <f>C328</f>
        <v>375000</v>
      </c>
    </row>
    <row r="327" spans="1:6" ht="17" thickBot="1" x14ac:dyDescent="0.25">
      <c r="B327" s="1" t="s">
        <v>1543</v>
      </c>
      <c r="C327" s="17">
        <v>-75000</v>
      </c>
      <c r="E327" s="11" t="s">
        <v>1543</v>
      </c>
      <c r="F327" s="1">
        <v>0</v>
      </c>
    </row>
    <row r="328" spans="1:6" ht="17" thickBot="1" x14ac:dyDescent="0.25">
      <c r="B328" s="1" t="s">
        <v>1492</v>
      </c>
      <c r="C328" s="40">
        <f>C326+C327</f>
        <v>375000</v>
      </c>
      <c r="E328" s="11" t="s">
        <v>1492</v>
      </c>
      <c r="F328" s="40">
        <f>F326</f>
        <v>375000</v>
      </c>
    </row>
    <row r="329" spans="1:6" x14ac:dyDescent="0.2">
      <c r="D329" s="11"/>
    </row>
    <row r="330" spans="1:6" x14ac:dyDescent="0.2">
      <c r="B330" s="1" t="s">
        <v>1539</v>
      </c>
      <c r="D330" s="11">
        <f>-C327</f>
        <v>75000</v>
      </c>
    </row>
    <row r="331" spans="1:6" x14ac:dyDescent="0.2">
      <c r="B331" s="1" t="s">
        <v>1713</v>
      </c>
      <c r="D331" s="11">
        <f>D330</f>
        <v>75000</v>
      </c>
    </row>
    <row r="332" spans="1:6" x14ac:dyDescent="0.2">
      <c r="D332" s="11"/>
    </row>
    <row r="333" spans="1:6" x14ac:dyDescent="0.2">
      <c r="A333" s="8" t="s">
        <v>1544</v>
      </c>
    </row>
    <row r="334" spans="1:6" x14ac:dyDescent="0.2">
      <c r="B334" s="1" t="s">
        <v>120</v>
      </c>
      <c r="D334" s="11">
        <v>375000</v>
      </c>
    </row>
    <row r="335" spans="1:6" ht="17" thickBot="1" x14ac:dyDescent="0.25">
      <c r="B335" s="1" t="s">
        <v>3179</v>
      </c>
      <c r="D335" s="135">
        <v>355000</v>
      </c>
      <c r="E335" s="1" t="s">
        <v>3180</v>
      </c>
    </row>
    <row r="336" spans="1:6" ht="17" thickBot="1" x14ac:dyDescent="0.25">
      <c r="B336" s="1" t="s">
        <v>1302</v>
      </c>
      <c r="D336" s="247">
        <f>D334-D335</f>
        <v>20000</v>
      </c>
    </row>
    <row r="338" spans="1:7" x14ac:dyDescent="0.2">
      <c r="B338" s="1" t="s">
        <v>3181</v>
      </c>
      <c r="D338" s="11">
        <f>63000*5/6</f>
        <v>52500</v>
      </c>
      <c r="F338" s="1" t="s">
        <v>3182</v>
      </c>
    </row>
    <row r="340" spans="1:7" x14ac:dyDescent="0.2">
      <c r="E340" s="1" t="s">
        <v>3184</v>
      </c>
      <c r="G340" s="1" t="s">
        <v>3183</v>
      </c>
    </row>
    <row r="341" spans="1:7" x14ac:dyDescent="0.2">
      <c r="E341" s="1" t="s">
        <v>3185</v>
      </c>
    </row>
    <row r="343" spans="1:7" x14ac:dyDescent="0.2">
      <c r="A343" s="1" t="s">
        <v>1545</v>
      </c>
    </row>
    <row r="344" spans="1:7" x14ac:dyDescent="0.2">
      <c r="A344" s="1" t="s">
        <v>1546</v>
      </c>
    </row>
    <row r="346" spans="1:7" x14ac:dyDescent="0.2">
      <c r="A346" s="2">
        <v>39813</v>
      </c>
      <c r="B346" s="1" t="s">
        <v>1312</v>
      </c>
      <c r="D346" s="139">
        <f>D336</f>
        <v>20000</v>
      </c>
    </row>
    <row r="347" spans="1:7" x14ac:dyDescent="0.2">
      <c r="B347" s="1" t="s">
        <v>1547</v>
      </c>
      <c r="D347" s="139">
        <f>D346</f>
        <v>20000</v>
      </c>
    </row>
    <row r="349" spans="1:7" x14ac:dyDescent="0.2">
      <c r="A349" s="8" t="s">
        <v>1548</v>
      </c>
    </row>
    <row r="350" spans="1:7" x14ac:dyDescent="0.2">
      <c r="A350" s="1" t="s">
        <v>1549</v>
      </c>
    </row>
    <row r="351" spans="1:7" x14ac:dyDescent="0.2">
      <c r="A351" s="1" t="s">
        <v>1550</v>
      </c>
    </row>
    <row r="352" spans="1:7" x14ac:dyDescent="0.2">
      <c r="A352" s="1" t="s">
        <v>1551</v>
      </c>
    </row>
    <row r="354" spans="1:6" x14ac:dyDescent="0.2">
      <c r="A354" s="1" t="s">
        <v>1552</v>
      </c>
    </row>
    <row r="356" spans="1:6" x14ac:dyDescent="0.2">
      <c r="B356" s="1" t="s">
        <v>1553</v>
      </c>
      <c r="D356" s="135">
        <f>D335</f>
        <v>355000</v>
      </c>
      <c r="E356" s="1" t="s">
        <v>1714</v>
      </c>
    </row>
    <row r="357" spans="1:6" ht="17" thickBot="1" x14ac:dyDescent="0.25">
      <c r="B357" s="136" t="s">
        <v>1554</v>
      </c>
      <c r="D357" s="11">
        <v>250000</v>
      </c>
      <c r="E357" s="1" t="s">
        <v>3186</v>
      </c>
    </row>
    <row r="358" spans="1:6" ht="17" thickBot="1" x14ac:dyDescent="0.25">
      <c r="B358" s="1" t="s">
        <v>3187</v>
      </c>
      <c r="D358" s="40">
        <f>D356-D357</f>
        <v>105000</v>
      </c>
    </row>
    <row r="361" spans="1:6" x14ac:dyDescent="0.2">
      <c r="C361" s="137" t="s">
        <v>3544</v>
      </c>
      <c r="E361" s="1" t="s">
        <v>1556</v>
      </c>
      <c r="F361" s="9" t="s">
        <v>369</v>
      </c>
    </row>
    <row r="362" spans="1:6" x14ac:dyDescent="0.2">
      <c r="C362" s="138">
        <v>55000</v>
      </c>
      <c r="E362" s="1" t="s">
        <v>1557</v>
      </c>
    </row>
    <row r="363" spans="1:6" x14ac:dyDescent="0.2">
      <c r="C363" s="137" t="s">
        <v>1558</v>
      </c>
      <c r="E363" s="11">
        <v>50000</v>
      </c>
    </row>
    <row r="365" spans="1:6" x14ac:dyDescent="0.2">
      <c r="A365" s="3" t="s">
        <v>1559</v>
      </c>
    </row>
    <row r="366" spans="1:6" x14ac:dyDescent="0.2">
      <c r="A366" s="1" t="s">
        <v>1560</v>
      </c>
    </row>
    <row r="367" spans="1:6" x14ac:dyDescent="0.2">
      <c r="A367" s="1" t="s">
        <v>1561</v>
      </c>
    </row>
    <row r="368" spans="1:6" x14ac:dyDescent="0.2">
      <c r="A368" s="1" t="s">
        <v>1562</v>
      </c>
    </row>
    <row r="369" spans="1:8" x14ac:dyDescent="0.2">
      <c r="A369" s="1" t="s">
        <v>1563</v>
      </c>
    </row>
    <row r="370" spans="1:8" x14ac:dyDescent="0.2">
      <c r="A370" s="1" t="s">
        <v>1564</v>
      </c>
    </row>
    <row r="371" spans="1:8" x14ac:dyDescent="0.2">
      <c r="A371" s="1" t="s">
        <v>1565</v>
      </c>
    </row>
    <row r="372" spans="1:8" x14ac:dyDescent="0.2">
      <c r="A372" s="1" t="s">
        <v>1566</v>
      </c>
    </row>
    <row r="373" spans="1:8" x14ac:dyDescent="0.2">
      <c r="A373" s="1" t="s">
        <v>1567</v>
      </c>
    </row>
    <row r="374" spans="1:8" ht="17" thickBot="1" x14ac:dyDescent="0.25"/>
    <row r="375" spans="1:8" x14ac:dyDescent="0.2">
      <c r="A375" s="31" t="s">
        <v>1568</v>
      </c>
      <c r="B375" s="76"/>
      <c r="C375" s="76"/>
      <c r="D375" s="76"/>
      <c r="E375" s="76"/>
      <c r="F375" s="76"/>
      <c r="G375" s="76"/>
      <c r="H375" s="77"/>
    </row>
    <row r="376" spans="1:8" ht="17" thickBot="1" x14ac:dyDescent="0.25">
      <c r="A376" s="80" t="s">
        <v>1569</v>
      </c>
      <c r="B376" s="81"/>
      <c r="C376" s="81"/>
      <c r="D376" s="81"/>
      <c r="E376" s="81"/>
      <c r="F376" s="81"/>
      <c r="G376" s="81"/>
      <c r="H376" s="82"/>
    </row>
    <row r="377" spans="1:8" x14ac:dyDescent="0.2">
      <c r="H377" s="1" t="s">
        <v>3189</v>
      </c>
    </row>
    <row r="378" spans="1:8" x14ac:dyDescent="0.2">
      <c r="A378" s="3" t="s">
        <v>1570</v>
      </c>
      <c r="F378" s="1" t="s">
        <v>3191</v>
      </c>
      <c r="H378" s="1" t="s">
        <v>3190</v>
      </c>
    </row>
    <row r="380" spans="1:8" x14ac:dyDescent="0.2">
      <c r="A380" s="1" t="s">
        <v>1571</v>
      </c>
      <c r="F380" s="17">
        <v>63000</v>
      </c>
      <c r="H380" s="1" t="s">
        <v>3188</v>
      </c>
    </row>
    <row r="381" spans="1:8" x14ac:dyDescent="0.2">
      <c r="F381" s="17"/>
    </row>
    <row r="382" spans="1:8" x14ac:dyDescent="0.2">
      <c r="A382" s="317" t="s">
        <v>1572</v>
      </c>
      <c r="F382" s="17">
        <f>F380/0.7</f>
        <v>90000</v>
      </c>
      <c r="H382" s="1" t="s">
        <v>1573</v>
      </c>
    </row>
    <row r="383" spans="1:8" x14ac:dyDescent="0.2">
      <c r="A383" s="317" t="s">
        <v>1574</v>
      </c>
      <c r="F383" s="17">
        <f>-10500/0.7</f>
        <v>-15000.000000000002</v>
      </c>
      <c r="H383" s="230" t="s">
        <v>3543</v>
      </c>
    </row>
    <row r="384" spans="1:8" ht="17" thickBot="1" x14ac:dyDescent="0.25">
      <c r="A384" s="317" t="s">
        <v>1575</v>
      </c>
      <c r="F384" s="17">
        <f>-D347</f>
        <v>-20000</v>
      </c>
    </row>
    <row r="385" spans="1:8" ht="17" thickBot="1" x14ac:dyDescent="0.25">
      <c r="A385" s="317" t="s">
        <v>1576</v>
      </c>
      <c r="F385" s="40">
        <f>SUM(F382:F384)</f>
        <v>55000</v>
      </c>
      <c r="H385" s="1" t="s">
        <v>1577</v>
      </c>
    </row>
    <row r="387" spans="1:8" x14ac:dyDescent="0.2">
      <c r="A387" s="2">
        <v>39813</v>
      </c>
      <c r="B387" s="1" t="s">
        <v>1578</v>
      </c>
      <c r="C387" s="11">
        <v>55000</v>
      </c>
      <c r="E387" s="1" t="s">
        <v>1313</v>
      </c>
      <c r="F387" s="11">
        <f>E363</f>
        <v>50000</v>
      </c>
    </row>
    <row r="388" spans="1:8" x14ac:dyDescent="0.2">
      <c r="B388" s="1" t="s">
        <v>1579</v>
      </c>
      <c r="C388" s="11">
        <f>C387</f>
        <v>55000</v>
      </c>
      <c r="E388" s="1" t="s">
        <v>1315</v>
      </c>
      <c r="F388" s="11">
        <f>F387</f>
        <v>50000</v>
      </c>
    </row>
    <row r="390" spans="1:8" x14ac:dyDescent="0.2">
      <c r="B390" s="1" t="s">
        <v>1580</v>
      </c>
      <c r="E390" s="1" t="s">
        <v>1581</v>
      </c>
    </row>
    <row r="392" spans="1:8" x14ac:dyDescent="0.2">
      <c r="A392" s="7" t="s">
        <v>308</v>
      </c>
      <c r="B392" s="1" t="s">
        <v>1582</v>
      </c>
    </row>
    <row r="394" spans="1:8" x14ac:dyDescent="0.2">
      <c r="A394" s="8" t="s">
        <v>1583</v>
      </c>
    </row>
    <row r="395" spans="1:8" x14ac:dyDescent="0.2">
      <c r="A395" s="1" t="s">
        <v>1491</v>
      </c>
      <c r="C395" s="14">
        <v>39447</v>
      </c>
      <c r="E395" s="14">
        <v>39813</v>
      </c>
    </row>
    <row r="396" spans="1:8" x14ac:dyDescent="0.2">
      <c r="B396" s="1" t="s">
        <v>1492</v>
      </c>
      <c r="C396" s="11">
        <v>450000</v>
      </c>
      <c r="E396" s="11">
        <v>250000</v>
      </c>
    </row>
    <row r="397" spans="1:8" x14ac:dyDescent="0.2">
      <c r="B397" s="1" t="s">
        <v>1468</v>
      </c>
      <c r="C397" s="11">
        <v>360000</v>
      </c>
      <c r="E397" s="11">
        <v>300000</v>
      </c>
      <c r="H397" s="1" t="s">
        <v>1584</v>
      </c>
    </row>
    <row r="398" spans="1:8" x14ac:dyDescent="0.2">
      <c r="B398" s="1" t="s">
        <v>1585</v>
      </c>
      <c r="C398" s="15">
        <f>C396-C397</f>
        <v>90000</v>
      </c>
      <c r="D398" s="230" t="s">
        <v>3545</v>
      </c>
      <c r="E398" s="15">
        <f>E397-E396</f>
        <v>50000</v>
      </c>
      <c r="G398" s="1" t="s">
        <v>1715</v>
      </c>
    </row>
    <row r="399" spans="1:8" x14ac:dyDescent="0.2">
      <c r="B399" s="1" t="s">
        <v>1469</v>
      </c>
      <c r="C399" s="120">
        <v>0.3</v>
      </c>
      <c r="E399" s="120">
        <v>0.3</v>
      </c>
      <c r="G399" s="1" t="s">
        <v>1716</v>
      </c>
    </row>
    <row r="400" spans="1:8" x14ac:dyDescent="0.2">
      <c r="B400" s="1" t="s">
        <v>1586</v>
      </c>
      <c r="C400" s="15">
        <f>C398*C399</f>
        <v>27000</v>
      </c>
      <c r="D400" s="1" t="s">
        <v>1587</v>
      </c>
      <c r="E400" s="15">
        <f>E398*E399</f>
        <v>15000</v>
      </c>
    </row>
    <row r="402" spans="1:7" x14ac:dyDescent="0.2">
      <c r="C402" s="1" t="s">
        <v>1588</v>
      </c>
    </row>
    <row r="403" spans="1:7" x14ac:dyDescent="0.2">
      <c r="C403" s="1" t="s">
        <v>1589</v>
      </c>
    </row>
    <row r="404" spans="1:7" x14ac:dyDescent="0.2">
      <c r="C404" s="1" t="s">
        <v>1590</v>
      </c>
    </row>
    <row r="406" spans="1:7" x14ac:dyDescent="0.2">
      <c r="A406" s="3" t="s">
        <v>1591</v>
      </c>
    </row>
    <row r="407" spans="1:7" x14ac:dyDescent="0.2">
      <c r="A407" s="2">
        <v>39447</v>
      </c>
      <c r="B407" s="1" t="s">
        <v>1592</v>
      </c>
      <c r="D407" s="125">
        <f>C400</f>
        <v>27000</v>
      </c>
      <c r="F407" s="1" t="s">
        <v>3546</v>
      </c>
      <c r="G407" s="1" t="s">
        <v>3547</v>
      </c>
    </row>
    <row r="408" spans="1:7" x14ac:dyDescent="0.2">
      <c r="A408" s="7" t="s">
        <v>1593</v>
      </c>
      <c r="B408" s="1" t="s">
        <v>1594</v>
      </c>
      <c r="D408" s="318">
        <f>-D407/6</f>
        <v>-4500</v>
      </c>
      <c r="F408" s="230" t="s">
        <v>3548</v>
      </c>
      <c r="G408" s="1" t="s">
        <v>1595</v>
      </c>
    </row>
    <row r="409" spans="1:7" x14ac:dyDescent="0.2">
      <c r="A409" s="7" t="s">
        <v>1596</v>
      </c>
      <c r="B409" s="1" t="s">
        <v>1597</v>
      </c>
      <c r="D409" s="127">
        <f>-D407-D408</f>
        <v>-22500</v>
      </c>
      <c r="F409" s="1" t="s">
        <v>1598</v>
      </c>
      <c r="G409" s="1" t="s">
        <v>1599</v>
      </c>
    </row>
    <row r="410" spans="1:7" ht="17" thickBot="1" x14ac:dyDescent="0.25">
      <c r="A410" s="7" t="s">
        <v>1600</v>
      </c>
      <c r="B410" s="1" t="s">
        <v>1601</v>
      </c>
      <c r="D410" s="319">
        <f>D411-D409-D408-D407</f>
        <v>-15000</v>
      </c>
      <c r="E410" s="62"/>
      <c r="F410" s="62" t="s">
        <v>1603</v>
      </c>
      <c r="G410" s="1" t="s">
        <v>1595</v>
      </c>
    </row>
    <row r="411" spans="1:7" ht="17" thickBot="1" x14ac:dyDescent="0.25">
      <c r="A411" s="2">
        <v>39813</v>
      </c>
      <c r="B411" s="1" t="s">
        <v>1602</v>
      </c>
      <c r="D411" s="320">
        <f>-E400</f>
        <v>-15000</v>
      </c>
      <c r="F411" s="1" t="s">
        <v>1603</v>
      </c>
    </row>
    <row r="413" spans="1:7" x14ac:dyDescent="0.2">
      <c r="A413" s="3" t="s">
        <v>1593</v>
      </c>
      <c r="B413" s="3" t="s">
        <v>1604</v>
      </c>
    </row>
    <row r="414" spans="1:7" x14ac:dyDescent="0.2">
      <c r="B414" s="1" t="s">
        <v>1605</v>
      </c>
    </row>
    <row r="415" spans="1:7" x14ac:dyDescent="0.2">
      <c r="D415" s="11">
        <f>450000/6</f>
        <v>75000</v>
      </c>
      <c r="F415" s="1" t="s">
        <v>1515</v>
      </c>
    </row>
    <row r="417" spans="1:6" x14ac:dyDescent="0.2">
      <c r="B417" s="1" t="s">
        <v>1606</v>
      </c>
    </row>
    <row r="418" spans="1:6" x14ac:dyDescent="0.2">
      <c r="D418" s="11">
        <f>360000/6</f>
        <v>60000</v>
      </c>
      <c r="F418" s="1" t="s">
        <v>1607</v>
      </c>
    </row>
    <row r="420" spans="1:6" x14ac:dyDescent="0.2">
      <c r="B420" s="1" t="s">
        <v>1608</v>
      </c>
    </row>
    <row r="421" spans="1:6" x14ac:dyDescent="0.2">
      <c r="D421" s="11">
        <f>D415-D418</f>
        <v>15000</v>
      </c>
      <c r="F421" s="1" t="s">
        <v>1609</v>
      </c>
    </row>
    <row r="423" spans="1:6" x14ac:dyDescent="0.2">
      <c r="B423" s="1" t="s">
        <v>1610</v>
      </c>
    </row>
    <row r="424" spans="1:6" x14ac:dyDescent="0.2">
      <c r="D424" s="139">
        <v>4500</v>
      </c>
      <c r="F424" s="1" t="s">
        <v>1611</v>
      </c>
    </row>
    <row r="426" spans="1:6" x14ac:dyDescent="0.2">
      <c r="B426" s="1" t="s">
        <v>1612</v>
      </c>
    </row>
    <row r="428" spans="1:6" x14ac:dyDescent="0.2">
      <c r="A428" s="3" t="s">
        <v>1596</v>
      </c>
      <c r="B428" s="3" t="s">
        <v>1613</v>
      </c>
    </row>
    <row r="429" spans="1:6" x14ac:dyDescent="0.2">
      <c r="B429" s="1" t="s">
        <v>1614</v>
      </c>
    </row>
    <row r="430" spans="1:6" x14ac:dyDescent="0.2">
      <c r="B430" s="1" t="s">
        <v>1615</v>
      </c>
    </row>
    <row r="431" spans="1:6" x14ac:dyDescent="0.2">
      <c r="B431" s="1" t="s">
        <v>1616</v>
      </c>
    </row>
    <row r="433" spans="1:11" x14ac:dyDescent="0.2">
      <c r="B433" s="1" t="s">
        <v>1617</v>
      </c>
    </row>
    <row r="435" spans="1:11" x14ac:dyDescent="0.2">
      <c r="A435" s="1" t="s">
        <v>1600</v>
      </c>
      <c r="B435" s="1" t="s">
        <v>1618</v>
      </c>
    </row>
    <row r="436" spans="1:11" x14ac:dyDescent="0.2">
      <c r="B436" s="1" t="s">
        <v>1619</v>
      </c>
    </row>
    <row r="437" spans="1:11" x14ac:dyDescent="0.2">
      <c r="I437" s="1" t="s">
        <v>3555</v>
      </c>
      <c r="J437" s="1" t="s">
        <v>3554</v>
      </c>
    </row>
    <row r="438" spans="1:11" x14ac:dyDescent="0.2">
      <c r="A438" s="8" t="s">
        <v>1620</v>
      </c>
    </row>
    <row r="439" spans="1:11" x14ac:dyDescent="0.2">
      <c r="B439" s="1" t="s">
        <v>1621</v>
      </c>
      <c r="D439" s="17">
        <f>-D408</f>
        <v>4500</v>
      </c>
      <c r="E439" s="1" t="s">
        <v>1622</v>
      </c>
      <c r="K439" s="1" t="s">
        <v>3553</v>
      </c>
    </row>
    <row r="440" spans="1:11" x14ac:dyDescent="0.2">
      <c r="B440" s="1" t="s">
        <v>1623</v>
      </c>
      <c r="D440" s="17">
        <f>D439</f>
        <v>4500</v>
      </c>
      <c r="E440" s="1" t="s">
        <v>1624</v>
      </c>
    </row>
    <row r="441" spans="1:11" x14ac:dyDescent="0.2">
      <c r="D441" s="17"/>
    </row>
    <row r="442" spans="1:11" x14ac:dyDescent="0.2">
      <c r="D442" s="17"/>
      <c r="I442" s="1" t="s">
        <v>3552</v>
      </c>
    </row>
    <row r="444" spans="1:11" x14ac:dyDescent="0.2">
      <c r="B444" s="1" t="s">
        <v>1621</v>
      </c>
      <c r="D444" s="17">
        <f>-D409</f>
        <v>22500</v>
      </c>
      <c r="E444" s="1" t="s">
        <v>1625</v>
      </c>
      <c r="I444" s="1" t="s">
        <v>3549</v>
      </c>
    </row>
    <row r="445" spans="1:11" x14ac:dyDescent="0.2">
      <c r="B445" s="1" t="s">
        <v>1626</v>
      </c>
      <c r="D445" s="17">
        <f>D444</f>
        <v>22500</v>
      </c>
      <c r="E445" s="1" t="s">
        <v>1627</v>
      </c>
    </row>
    <row r="447" spans="1:11" x14ac:dyDescent="0.2">
      <c r="B447" s="1" t="s">
        <v>1628</v>
      </c>
      <c r="D447" s="17">
        <f>-D411</f>
        <v>15000</v>
      </c>
      <c r="E447" s="1" t="s">
        <v>1629</v>
      </c>
    </row>
    <row r="448" spans="1:11" x14ac:dyDescent="0.2">
      <c r="B448" s="1" t="s">
        <v>1623</v>
      </c>
      <c r="D448" s="17">
        <f>D447</f>
        <v>15000</v>
      </c>
      <c r="E448" s="1" t="s">
        <v>1630</v>
      </c>
      <c r="I448" s="1" t="s">
        <v>3550</v>
      </c>
    </row>
    <row r="449" spans="1:9" x14ac:dyDescent="0.2">
      <c r="I449" s="1" t="s">
        <v>3551</v>
      </c>
    </row>
    <row r="451" spans="1:9" x14ac:dyDescent="0.2">
      <c r="A451" s="8" t="s">
        <v>1473</v>
      </c>
    </row>
    <row r="452" spans="1:9" x14ac:dyDescent="0.2">
      <c r="A452" s="8"/>
      <c r="B452" s="14">
        <v>39082</v>
      </c>
      <c r="C452" s="140">
        <v>39447</v>
      </c>
      <c r="D452" s="14">
        <v>39813</v>
      </c>
    </row>
    <row r="453" spans="1:9" x14ac:dyDescent="0.2">
      <c r="A453" s="1" t="s">
        <v>1474</v>
      </c>
      <c r="B453" s="11">
        <v>420000</v>
      </c>
      <c r="C453" s="60">
        <v>450000</v>
      </c>
      <c r="D453" s="11">
        <f>D456+D455</f>
        <v>300000</v>
      </c>
    </row>
    <row r="454" spans="1:9" x14ac:dyDescent="0.2">
      <c r="A454" s="1" t="s">
        <v>691</v>
      </c>
      <c r="B454" s="1">
        <v>0</v>
      </c>
      <c r="C454" s="62">
        <v>0</v>
      </c>
      <c r="D454" s="1">
        <v>0</v>
      </c>
    </row>
    <row r="455" spans="1:9" ht="17" thickBot="1" x14ac:dyDescent="0.25">
      <c r="A455" s="1" t="s">
        <v>1205</v>
      </c>
      <c r="B455" s="1">
        <v>0</v>
      </c>
      <c r="C455" s="62">
        <v>0</v>
      </c>
      <c r="D455" s="60">
        <v>50000</v>
      </c>
    </row>
    <row r="456" spans="1:9" ht="17" thickBot="1" x14ac:dyDescent="0.25">
      <c r="A456" s="1" t="s">
        <v>120</v>
      </c>
      <c r="B456" s="40">
        <v>420000</v>
      </c>
      <c r="C456" s="61">
        <v>450000</v>
      </c>
      <c r="D456" s="61">
        <v>250000</v>
      </c>
    </row>
    <row r="457" spans="1:9" x14ac:dyDescent="0.2">
      <c r="C457" s="62"/>
    </row>
    <row r="458" spans="1:9" x14ac:dyDescent="0.2">
      <c r="A458" s="1" t="s">
        <v>1206</v>
      </c>
      <c r="C458" s="62"/>
      <c r="D458" s="11">
        <f>C456/6</f>
        <v>75000</v>
      </c>
    </row>
    <row r="459" spans="1:9" x14ac:dyDescent="0.2">
      <c r="C459" s="62"/>
    </row>
    <row r="460" spans="1:9" x14ac:dyDescent="0.2">
      <c r="A460" s="1" t="s">
        <v>1475</v>
      </c>
      <c r="B460" s="11">
        <v>42000</v>
      </c>
      <c r="C460" s="60">
        <v>63000</v>
      </c>
      <c r="D460" s="1">
        <v>0</v>
      </c>
    </row>
    <row r="461" spans="1:9" x14ac:dyDescent="0.2">
      <c r="C461" s="62"/>
    </row>
    <row r="462" spans="1:9" x14ac:dyDescent="0.2">
      <c r="A462" s="1" t="s">
        <v>1477</v>
      </c>
      <c r="B462" s="11">
        <v>18000</v>
      </c>
      <c r="C462" s="60">
        <v>27000</v>
      </c>
    </row>
    <row r="463" spans="1:9" x14ac:dyDescent="0.2">
      <c r="A463" s="1" t="s">
        <v>1631</v>
      </c>
      <c r="D463" s="17">
        <f>D447</f>
        <v>15000</v>
      </c>
    </row>
    <row r="465" spans="1:8" x14ac:dyDescent="0.2">
      <c r="A465" s="1" t="s">
        <v>1632</v>
      </c>
      <c r="D465" s="17">
        <f>D440+D448</f>
        <v>19500</v>
      </c>
      <c r="F465" s="1" t="s">
        <v>1633</v>
      </c>
    </row>
    <row r="467" spans="1:8" x14ac:dyDescent="0.2">
      <c r="A467" s="4" t="s">
        <v>3556</v>
      </c>
      <c r="B467" s="4"/>
      <c r="C467" s="4"/>
      <c r="D467" s="154"/>
      <c r="E467" s="4"/>
      <c r="F467" s="4"/>
      <c r="G467" s="4"/>
      <c r="H467" s="4"/>
    </row>
    <row r="468" spans="1:8" x14ac:dyDescent="0.2">
      <c r="A468" s="1" t="s">
        <v>3192</v>
      </c>
    </row>
    <row r="469" spans="1:8" x14ac:dyDescent="0.2">
      <c r="A469" s="1" t="s">
        <v>1634</v>
      </c>
    </row>
    <row r="471" spans="1:8" x14ac:dyDescent="0.2">
      <c r="A471" s="1" t="s">
        <v>1635</v>
      </c>
    </row>
    <row r="472" spans="1:8" x14ac:dyDescent="0.2">
      <c r="A472" s="1" t="s">
        <v>1636</v>
      </c>
    </row>
    <row r="474" spans="1:8" x14ac:dyDescent="0.2">
      <c r="A474" s="8" t="s">
        <v>1944</v>
      </c>
    </row>
    <row r="475" spans="1:8" x14ac:dyDescent="0.2">
      <c r="A475" s="1" t="s">
        <v>1514</v>
      </c>
      <c r="C475" s="11">
        <v>50000</v>
      </c>
      <c r="E475" s="1" t="s">
        <v>1637</v>
      </c>
      <c r="F475" s="1" t="s">
        <v>1945</v>
      </c>
    </row>
    <row r="476" spans="1:8" x14ac:dyDescent="0.2">
      <c r="A476" s="1" t="s">
        <v>1638</v>
      </c>
      <c r="C476" s="11">
        <v>10000</v>
      </c>
      <c r="E476" s="1" t="s">
        <v>1639</v>
      </c>
      <c r="F476" s="1" t="s">
        <v>1946</v>
      </c>
    </row>
    <row r="477" spans="1:8" x14ac:dyDescent="0.2">
      <c r="A477" s="1" t="s">
        <v>1516</v>
      </c>
      <c r="C477" s="11">
        <f>C475+C476</f>
        <v>60000</v>
      </c>
      <c r="D477" s="1" t="s">
        <v>1943</v>
      </c>
    </row>
    <row r="479" spans="1:8" x14ac:dyDescent="0.2">
      <c r="A479" s="1" t="s">
        <v>1640</v>
      </c>
    </row>
    <row r="480" spans="1:8" x14ac:dyDescent="0.2">
      <c r="A480" s="1" t="s">
        <v>1947</v>
      </c>
    </row>
    <row r="481" spans="1:7" x14ac:dyDescent="0.2">
      <c r="A481" s="1" t="s">
        <v>1948</v>
      </c>
    </row>
    <row r="482" spans="1:7" x14ac:dyDescent="0.2">
      <c r="A482" s="1" t="s">
        <v>1641</v>
      </c>
    </row>
    <row r="484" spans="1:7" x14ac:dyDescent="0.2">
      <c r="A484" s="1" t="s">
        <v>1642</v>
      </c>
      <c r="C484" s="11">
        <v>200000</v>
      </c>
      <c r="E484" s="1" t="s">
        <v>1643</v>
      </c>
      <c r="G484" s="1" t="s">
        <v>3193</v>
      </c>
    </row>
    <row r="485" spans="1:7" ht="17" thickBot="1" x14ac:dyDescent="0.25">
      <c r="A485" s="1" t="s">
        <v>1644</v>
      </c>
      <c r="C485" s="11">
        <v>240000</v>
      </c>
      <c r="D485" s="1" t="s">
        <v>3194</v>
      </c>
    </row>
    <row r="486" spans="1:7" ht="17" thickBot="1" x14ac:dyDescent="0.25">
      <c r="A486" s="1" t="s">
        <v>1456</v>
      </c>
      <c r="C486" s="40">
        <f>C485-C484</f>
        <v>40000</v>
      </c>
      <c r="D486" s="1" t="s">
        <v>3195</v>
      </c>
    </row>
    <row r="488" spans="1:7" x14ac:dyDescent="0.2">
      <c r="A488" s="1" t="s">
        <v>1949</v>
      </c>
    </row>
    <row r="489" spans="1:7" x14ac:dyDescent="0.2">
      <c r="A489" s="1" t="s">
        <v>1950</v>
      </c>
    </row>
    <row r="491" spans="1:7" x14ac:dyDescent="0.2">
      <c r="A491" s="1" t="s">
        <v>1951</v>
      </c>
    </row>
    <row r="492" spans="1:7" x14ac:dyDescent="0.2">
      <c r="C492" s="11">
        <v>40000</v>
      </c>
      <c r="E492" s="1" t="s">
        <v>1645</v>
      </c>
    </row>
    <row r="494" spans="1:7" x14ac:dyDescent="0.2">
      <c r="A494" s="1" t="s">
        <v>1952</v>
      </c>
    </row>
    <row r="495" spans="1:7" x14ac:dyDescent="0.2">
      <c r="A495" s="1" t="s">
        <v>1646</v>
      </c>
    </row>
    <row r="496" spans="1:7" x14ac:dyDescent="0.2">
      <c r="A496" s="1" t="s">
        <v>1647</v>
      </c>
    </row>
    <row r="497" spans="1:8" x14ac:dyDescent="0.2">
      <c r="A497" s="1" t="s">
        <v>1648</v>
      </c>
    </row>
    <row r="499" spans="1:8" x14ac:dyDescent="0.2">
      <c r="A499" s="1" t="s">
        <v>1954</v>
      </c>
    </row>
    <row r="500" spans="1:8" x14ac:dyDescent="0.2">
      <c r="A500" s="1" t="s">
        <v>1953</v>
      </c>
    </row>
    <row r="502" spans="1:8" x14ac:dyDescent="0.2">
      <c r="A502" s="8" t="s">
        <v>1583</v>
      </c>
    </row>
    <row r="504" spans="1:8" x14ac:dyDescent="0.2">
      <c r="C504" s="14">
        <v>39813</v>
      </c>
      <c r="F504" s="14">
        <v>40178</v>
      </c>
    </row>
    <row r="505" spans="1:8" x14ac:dyDescent="0.2">
      <c r="B505" s="62" t="s">
        <v>120</v>
      </c>
      <c r="C505" s="60">
        <v>250000</v>
      </c>
      <c r="D505" s="59"/>
      <c r="E505" s="62" t="s">
        <v>1649</v>
      </c>
      <c r="F505" s="60">
        <v>240000</v>
      </c>
      <c r="G505" s="59"/>
      <c r="H505" s="59"/>
    </row>
    <row r="506" spans="1:8" x14ac:dyDescent="0.2">
      <c r="B506" s="62" t="s">
        <v>1468</v>
      </c>
      <c r="C506" s="60">
        <v>300000</v>
      </c>
      <c r="D506" s="59"/>
      <c r="E506" s="62" t="s">
        <v>1468</v>
      </c>
      <c r="F506" s="60">
        <f>360000*4/6</f>
        <v>240000</v>
      </c>
      <c r="G506" s="62"/>
      <c r="H506" s="62" t="s">
        <v>1650</v>
      </c>
    </row>
    <row r="507" spans="1:8" x14ac:dyDescent="0.2">
      <c r="B507" s="62" t="s">
        <v>1651</v>
      </c>
      <c r="C507" s="85">
        <v>50000</v>
      </c>
      <c r="D507" s="59"/>
      <c r="E507" s="62" t="s">
        <v>1652</v>
      </c>
      <c r="F507" s="155">
        <v>0</v>
      </c>
      <c r="G507" s="59"/>
      <c r="H507" s="59"/>
    </row>
    <row r="508" spans="1:8" x14ac:dyDescent="0.2">
      <c r="B508" s="62" t="s">
        <v>1653</v>
      </c>
      <c r="C508" s="148">
        <v>0.3</v>
      </c>
      <c r="D508" s="59"/>
      <c r="E508" s="62" t="s">
        <v>1653</v>
      </c>
      <c r="F508" s="148">
        <v>0.3</v>
      </c>
      <c r="G508" s="59"/>
      <c r="H508" s="62" t="s">
        <v>1955</v>
      </c>
    </row>
    <row r="509" spans="1:8" x14ac:dyDescent="0.2">
      <c r="B509" s="62" t="s">
        <v>1631</v>
      </c>
      <c r="C509" s="85">
        <v>15000</v>
      </c>
      <c r="D509" s="59"/>
      <c r="E509" s="62" t="s">
        <v>1654</v>
      </c>
      <c r="F509" s="155">
        <v>0</v>
      </c>
      <c r="G509" s="59"/>
      <c r="H509" s="62" t="s">
        <v>1956</v>
      </c>
    </row>
    <row r="510" spans="1:8" x14ac:dyDescent="0.2">
      <c r="H510" s="1" t="s">
        <v>1957</v>
      </c>
    </row>
    <row r="511" spans="1:8" x14ac:dyDescent="0.2">
      <c r="A511" s="10" t="s">
        <v>1655</v>
      </c>
      <c r="B511" s="10"/>
      <c r="C511" s="9" t="s">
        <v>308</v>
      </c>
      <c r="D511" s="1" t="s">
        <v>1656</v>
      </c>
      <c r="H511" s="1" t="s">
        <v>1958</v>
      </c>
    </row>
    <row r="512" spans="1:8" x14ac:dyDescent="0.2">
      <c r="A512" s="1" t="s">
        <v>117</v>
      </c>
      <c r="C512" s="11">
        <f>C515-C514-C513</f>
        <v>300000</v>
      </c>
      <c r="D512" s="1" t="s">
        <v>1657</v>
      </c>
    </row>
    <row r="513" spans="1:7" x14ac:dyDescent="0.2">
      <c r="A513" s="1" t="s">
        <v>691</v>
      </c>
      <c r="C513" s="17">
        <v>-60000</v>
      </c>
    </row>
    <row r="514" spans="1:7" ht="17" thickBot="1" x14ac:dyDescent="0.25">
      <c r="A514" s="1" t="s">
        <v>1658</v>
      </c>
      <c r="C514" s="1">
        <v>0</v>
      </c>
      <c r="E514" s="68" t="s">
        <v>1659</v>
      </c>
      <c r="F514" s="68"/>
      <c r="G514" s="68"/>
    </row>
    <row r="515" spans="1:7" ht="17" thickBot="1" x14ac:dyDescent="0.25">
      <c r="A515" s="1" t="s">
        <v>120</v>
      </c>
      <c r="C515" s="40">
        <v>240000</v>
      </c>
      <c r="E515" s="68" t="s">
        <v>1660</v>
      </c>
      <c r="F515" s="68"/>
      <c r="G515" s="139">
        <v>15000</v>
      </c>
    </row>
    <row r="516" spans="1:7" x14ac:dyDescent="0.2">
      <c r="E516" s="68" t="s">
        <v>1661</v>
      </c>
      <c r="F516" s="68"/>
      <c r="G516" s="139">
        <v>15000</v>
      </c>
    </row>
    <row r="518" spans="1:7" x14ac:dyDescent="0.2">
      <c r="A518" s="8" t="s">
        <v>1473</v>
      </c>
    </row>
    <row r="519" spans="1:7" x14ac:dyDescent="0.2">
      <c r="B519" s="14">
        <v>39082</v>
      </c>
      <c r="C519" s="14">
        <v>39447</v>
      </c>
      <c r="D519" s="14">
        <v>39813</v>
      </c>
      <c r="E519" s="141">
        <v>40178</v>
      </c>
    </row>
    <row r="520" spans="1:7" x14ac:dyDescent="0.2">
      <c r="A520" s="1" t="s">
        <v>1474</v>
      </c>
      <c r="B520" s="11">
        <v>420000</v>
      </c>
      <c r="C520" s="11">
        <v>450000</v>
      </c>
      <c r="D520" s="11">
        <v>300000</v>
      </c>
      <c r="E520" s="11">
        <f>D520</f>
        <v>300000</v>
      </c>
    </row>
    <row r="521" spans="1:7" x14ac:dyDescent="0.2">
      <c r="A521" s="1" t="s">
        <v>691</v>
      </c>
      <c r="B521" s="1">
        <v>0</v>
      </c>
      <c r="C521" s="1">
        <v>0</v>
      </c>
      <c r="D521" s="1">
        <v>0</v>
      </c>
      <c r="E521" s="17">
        <f>-E525-D522/5</f>
        <v>-60000</v>
      </c>
    </row>
    <row r="522" spans="1:7" x14ac:dyDescent="0.2">
      <c r="A522" s="1" t="s">
        <v>1205</v>
      </c>
      <c r="B522" s="1">
        <v>0</v>
      </c>
      <c r="C522" s="1">
        <v>0</v>
      </c>
      <c r="D522" s="11">
        <v>50000</v>
      </c>
      <c r="E522" s="1">
        <v>0</v>
      </c>
    </row>
    <row r="523" spans="1:7" x14ac:dyDescent="0.2">
      <c r="A523" s="1" t="s">
        <v>120</v>
      </c>
      <c r="B523" s="15">
        <v>420000</v>
      </c>
      <c r="C523" s="15">
        <v>450000</v>
      </c>
      <c r="D523" s="15">
        <v>250000</v>
      </c>
      <c r="E523" s="15">
        <f>SUM(E520:E522)</f>
        <v>240000</v>
      </c>
    </row>
    <row r="525" spans="1:7" x14ac:dyDescent="0.2">
      <c r="A525" s="1" t="s">
        <v>1206</v>
      </c>
      <c r="D525" s="11">
        <v>75000</v>
      </c>
      <c r="E525" s="11">
        <f>C475</f>
        <v>50000</v>
      </c>
    </row>
    <row r="527" spans="1:7" x14ac:dyDescent="0.2">
      <c r="A527" s="1" t="s">
        <v>1475</v>
      </c>
      <c r="B527" s="11">
        <v>42000</v>
      </c>
      <c r="C527" s="11">
        <v>63000</v>
      </c>
      <c r="D527" s="1">
        <v>0</v>
      </c>
      <c r="E527" s="1">
        <v>0</v>
      </c>
    </row>
    <row r="529" spans="1:8" x14ac:dyDescent="0.2">
      <c r="A529" s="1" t="s">
        <v>1477</v>
      </c>
      <c r="B529" s="11">
        <v>18000</v>
      </c>
      <c r="C529" s="11">
        <v>27000</v>
      </c>
      <c r="E529" s="1">
        <v>0</v>
      </c>
    </row>
    <row r="530" spans="1:8" x14ac:dyDescent="0.2">
      <c r="A530" s="1" t="s">
        <v>1631</v>
      </c>
      <c r="D530" s="17">
        <v>15000</v>
      </c>
      <c r="E530" s="1">
        <v>0</v>
      </c>
    </row>
    <row r="532" spans="1:8" x14ac:dyDescent="0.2">
      <c r="A532" s="1" t="s">
        <v>1632</v>
      </c>
      <c r="D532" s="17">
        <v>19500</v>
      </c>
    </row>
    <row r="533" spans="1:8" x14ac:dyDescent="0.2">
      <c r="A533" s="1" t="s">
        <v>1662</v>
      </c>
      <c r="E533" s="11">
        <v>15000</v>
      </c>
    </row>
    <row r="535" spans="1:8" x14ac:dyDescent="0.2">
      <c r="A535" s="4" t="s">
        <v>1663</v>
      </c>
      <c r="B535" s="4"/>
      <c r="C535" s="4"/>
      <c r="D535" s="4"/>
      <c r="E535" s="4"/>
      <c r="F535" s="4"/>
      <c r="G535" s="4"/>
      <c r="H535" s="4"/>
    </row>
    <row r="536" spans="1:8" x14ac:dyDescent="0.2">
      <c r="A536" s="1" t="s">
        <v>1664</v>
      </c>
    </row>
    <row r="537" spans="1:8" x14ac:dyDescent="0.2">
      <c r="A537" s="1" t="s">
        <v>1959</v>
      </c>
    </row>
    <row r="538" spans="1:8" x14ac:dyDescent="0.2">
      <c r="A538" s="1" t="s">
        <v>1960</v>
      </c>
    </row>
    <row r="540" spans="1:8" x14ac:dyDescent="0.2">
      <c r="A540" s="8" t="s">
        <v>1961</v>
      </c>
    </row>
    <row r="541" spans="1:8" x14ac:dyDescent="0.2">
      <c r="A541" s="19" t="s">
        <v>1962</v>
      </c>
    </row>
    <row r="542" spans="1:8" x14ac:dyDescent="0.2">
      <c r="A542" s="62" t="s">
        <v>1963</v>
      </c>
    </row>
    <row r="543" spans="1:8" x14ac:dyDescent="0.2">
      <c r="A543" s="62" t="s">
        <v>1964</v>
      </c>
    </row>
    <row r="544" spans="1:8" x14ac:dyDescent="0.2">
      <c r="A544" s="62"/>
    </row>
    <row r="545" spans="1:5" x14ac:dyDescent="0.2">
      <c r="A545" s="1" t="s">
        <v>1514</v>
      </c>
      <c r="C545" s="11">
        <f>240000/4</f>
        <v>60000</v>
      </c>
      <c r="E545" s="1" t="s">
        <v>1665</v>
      </c>
    </row>
    <row r="546" spans="1:5" x14ac:dyDescent="0.2">
      <c r="A546" s="1" t="s">
        <v>1516</v>
      </c>
      <c r="C546" s="11">
        <f>C545</f>
        <v>60000</v>
      </c>
    </row>
    <row r="548" spans="1:5" x14ac:dyDescent="0.2">
      <c r="A548" s="8" t="s">
        <v>1666</v>
      </c>
    </row>
    <row r="549" spans="1:5" x14ac:dyDescent="0.2">
      <c r="A549" s="1" t="s">
        <v>1667</v>
      </c>
      <c r="C549" s="11">
        <v>300000</v>
      </c>
    </row>
    <row r="550" spans="1:5" x14ac:dyDescent="0.2">
      <c r="A550" s="1" t="s">
        <v>691</v>
      </c>
      <c r="C550" s="17">
        <v>-120000</v>
      </c>
      <c r="E550" s="1" t="s">
        <v>1668</v>
      </c>
    </row>
    <row r="551" spans="1:5" ht="17" thickBot="1" x14ac:dyDescent="0.25">
      <c r="A551" s="1" t="s">
        <v>1658</v>
      </c>
      <c r="C551" s="1">
        <v>0</v>
      </c>
    </row>
    <row r="552" spans="1:5" ht="17" thickBot="1" x14ac:dyDescent="0.25">
      <c r="A552" s="1" t="s">
        <v>120</v>
      </c>
      <c r="C552" s="40">
        <f>SUM(C549:C551)</f>
        <v>180000</v>
      </c>
    </row>
    <row r="554" spans="1:5" x14ac:dyDescent="0.2">
      <c r="A554" s="8" t="s">
        <v>1966</v>
      </c>
    </row>
    <row r="555" spans="1:5" x14ac:dyDescent="0.2">
      <c r="A555" s="1" t="s">
        <v>1539</v>
      </c>
      <c r="C555" s="17">
        <f>-C550</f>
        <v>120000</v>
      </c>
    </row>
    <row r="556" spans="1:5" x14ac:dyDescent="0.2">
      <c r="A556" s="1" t="s">
        <v>1669</v>
      </c>
      <c r="C556" s="17">
        <f>C555</f>
        <v>120000</v>
      </c>
    </row>
    <row r="558" spans="1:5" x14ac:dyDescent="0.2">
      <c r="A558" s="1" t="s">
        <v>1965</v>
      </c>
    </row>
    <row r="559" spans="1:5" x14ac:dyDescent="0.2">
      <c r="A559" s="1" t="s">
        <v>1667</v>
      </c>
      <c r="C559" s="11">
        <v>180000</v>
      </c>
    </row>
    <row r="560" spans="1:5" x14ac:dyDescent="0.2">
      <c r="A560" s="1" t="s">
        <v>691</v>
      </c>
      <c r="C560" s="17">
        <v>0</v>
      </c>
    </row>
    <row r="561" spans="1:9" ht="17" thickBot="1" x14ac:dyDescent="0.25">
      <c r="A561" s="1" t="s">
        <v>1658</v>
      </c>
      <c r="C561" s="1">
        <v>0</v>
      </c>
    </row>
    <row r="562" spans="1:9" ht="17" thickBot="1" x14ac:dyDescent="0.25">
      <c r="A562" s="1" t="s">
        <v>120</v>
      </c>
      <c r="C562" s="40">
        <f>SUM(C559:C561)</f>
        <v>180000</v>
      </c>
    </row>
    <row r="563" spans="1:9" x14ac:dyDescent="0.2">
      <c r="C563" s="11"/>
    </row>
    <row r="564" spans="1:9" x14ac:dyDescent="0.2">
      <c r="A564" s="8" t="s">
        <v>3196</v>
      </c>
      <c r="B564" s="8"/>
      <c r="C564" s="8"/>
      <c r="D564" s="8"/>
      <c r="E564" s="62" t="s">
        <v>1967</v>
      </c>
    </row>
    <row r="565" spans="1:9" x14ac:dyDescent="0.2">
      <c r="A565" s="1" t="s">
        <v>3197</v>
      </c>
      <c r="C565" s="11">
        <v>330000</v>
      </c>
      <c r="E565" s="1" t="s">
        <v>1968</v>
      </c>
    </row>
    <row r="566" spans="1:9" ht="17" thickBot="1" x14ac:dyDescent="0.25">
      <c r="A566" s="1" t="s">
        <v>1642</v>
      </c>
      <c r="C566" s="11">
        <f>C552</f>
        <v>180000</v>
      </c>
      <c r="E566" s="1" t="s">
        <v>1969</v>
      </c>
    </row>
    <row r="567" spans="1:9" ht="17" thickBot="1" x14ac:dyDescent="0.25">
      <c r="A567" s="1" t="s">
        <v>1456</v>
      </c>
      <c r="C567" s="40">
        <f>C565-C566</f>
        <v>150000</v>
      </c>
    </row>
    <row r="568" spans="1:9" x14ac:dyDescent="0.2">
      <c r="C568" s="11"/>
      <c r="E568" s="3" t="s">
        <v>1970</v>
      </c>
      <c r="F568" s="3"/>
      <c r="G568" s="3"/>
      <c r="H568" s="3"/>
      <c r="I568" s="3"/>
    </row>
    <row r="569" spans="1:9" x14ac:dyDescent="0.2">
      <c r="C569" s="11"/>
    </row>
    <row r="570" spans="1:9" x14ac:dyDescent="0.2">
      <c r="A570" s="1" t="s">
        <v>1971</v>
      </c>
      <c r="C570" s="11"/>
    </row>
    <row r="571" spans="1:9" x14ac:dyDescent="0.2">
      <c r="A571" s="1" t="s">
        <v>1972</v>
      </c>
      <c r="C571" s="11"/>
    </row>
    <row r="572" spans="1:9" x14ac:dyDescent="0.2">
      <c r="A572" s="1" t="s">
        <v>1973</v>
      </c>
      <c r="C572" s="11"/>
    </row>
    <row r="573" spans="1:9" x14ac:dyDescent="0.2">
      <c r="A573" s="1" t="s">
        <v>1974</v>
      </c>
      <c r="C573" s="11"/>
    </row>
    <row r="574" spans="1:9" x14ac:dyDescent="0.2">
      <c r="A574" s="1" t="s">
        <v>1975</v>
      </c>
      <c r="C574" s="11"/>
    </row>
    <row r="575" spans="1:9" x14ac:dyDescent="0.2">
      <c r="C575" s="11"/>
    </row>
    <row r="576" spans="1:9" x14ac:dyDescent="0.2">
      <c r="A576" s="8" t="s">
        <v>1670</v>
      </c>
    </row>
    <row r="577" spans="1:8" x14ac:dyDescent="0.2">
      <c r="A577" s="1" t="s">
        <v>1450</v>
      </c>
      <c r="C577" s="11">
        <f>C567</f>
        <v>150000</v>
      </c>
    </row>
    <row r="578" spans="1:8" x14ac:dyDescent="0.2">
      <c r="A578" s="1" t="s">
        <v>1461</v>
      </c>
      <c r="C578" s="11">
        <f>C577</f>
        <v>150000</v>
      </c>
    </row>
    <row r="580" spans="1:8" x14ac:dyDescent="0.2">
      <c r="C580" s="14">
        <v>40178</v>
      </c>
      <c r="F580" s="14">
        <v>40543</v>
      </c>
    </row>
    <row r="581" spans="1:8" s="62" customFormat="1" x14ac:dyDescent="0.2">
      <c r="B581" s="62" t="s">
        <v>120</v>
      </c>
      <c r="C581" s="60">
        <v>240000</v>
      </c>
      <c r="E581" s="62" t="s">
        <v>1649</v>
      </c>
      <c r="F581" s="60">
        <f>C565</f>
        <v>330000</v>
      </c>
      <c r="G581" s="62" t="s">
        <v>1976</v>
      </c>
    </row>
    <row r="582" spans="1:8" s="62" customFormat="1" x14ac:dyDescent="0.2">
      <c r="B582" s="62" t="s">
        <v>1468</v>
      </c>
      <c r="C582" s="60">
        <v>240000</v>
      </c>
      <c r="E582" s="62" t="s">
        <v>1468</v>
      </c>
      <c r="F582" s="60">
        <f>360000*3/6</f>
        <v>180000</v>
      </c>
      <c r="H582" s="62" t="s">
        <v>1671</v>
      </c>
    </row>
    <row r="583" spans="1:8" s="62" customFormat="1" x14ac:dyDescent="0.2">
      <c r="B583" s="62" t="s">
        <v>1652</v>
      </c>
      <c r="C583" s="155">
        <v>0</v>
      </c>
      <c r="E583" s="62" t="s">
        <v>1672</v>
      </c>
      <c r="F583" s="85">
        <f>F581-F582</f>
        <v>150000</v>
      </c>
    </row>
    <row r="584" spans="1:8" s="62" customFormat="1" x14ac:dyDescent="0.2">
      <c r="B584" s="62" t="s">
        <v>1653</v>
      </c>
      <c r="C584" s="148">
        <v>0.3</v>
      </c>
      <c r="E584" s="62" t="s">
        <v>1653</v>
      </c>
      <c r="F584" s="148">
        <v>0.3</v>
      </c>
    </row>
    <row r="585" spans="1:8" s="62" customFormat="1" x14ac:dyDescent="0.2">
      <c r="C585" s="155">
        <v>0</v>
      </c>
      <c r="E585" s="62" t="s">
        <v>1477</v>
      </c>
      <c r="F585" s="177">
        <f>F583*F584</f>
        <v>45000</v>
      </c>
    </row>
    <row r="587" spans="1:8" x14ac:dyDescent="0.2">
      <c r="C587" s="1" t="s">
        <v>1673</v>
      </c>
    </row>
    <row r="588" spans="1:8" x14ac:dyDescent="0.2">
      <c r="C588" s="1" t="s">
        <v>1674</v>
      </c>
    </row>
    <row r="589" spans="1:8" x14ac:dyDescent="0.2">
      <c r="C589" s="1" t="s">
        <v>1675</v>
      </c>
    </row>
    <row r="590" spans="1:8" s="62" customFormat="1" x14ac:dyDescent="0.2"/>
    <row r="591" spans="1:8" s="62" customFormat="1" x14ac:dyDescent="0.2">
      <c r="C591" s="62" t="s">
        <v>1312</v>
      </c>
      <c r="E591" s="63">
        <f>F585</f>
        <v>45000</v>
      </c>
    </row>
    <row r="592" spans="1:8" s="62" customFormat="1" x14ac:dyDescent="0.2">
      <c r="C592" s="62" t="s">
        <v>1676</v>
      </c>
      <c r="E592" s="63">
        <f>E591</f>
        <v>45000</v>
      </c>
    </row>
    <row r="593" spans="1:8" s="62" customFormat="1" x14ac:dyDescent="0.2"/>
    <row r="594" spans="1:8" x14ac:dyDescent="0.2">
      <c r="A594" s="8" t="s">
        <v>1473</v>
      </c>
    </row>
    <row r="595" spans="1:8" x14ac:dyDescent="0.2">
      <c r="B595" s="14">
        <v>39082</v>
      </c>
      <c r="C595" s="14">
        <v>39447</v>
      </c>
      <c r="D595" s="14">
        <v>39813</v>
      </c>
      <c r="E595" s="14">
        <v>40178</v>
      </c>
      <c r="F595" s="14">
        <v>40543</v>
      </c>
    </row>
    <row r="596" spans="1:8" x14ac:dyDescent="0.2">
      <c r="A596" s="1" t="s">
        <v>1474</v>
      </c>
      <c r="B596" s="11">
        <v>420000</v>
      </c>
      <c r="C596" s="11">
        <v>450000</v>
      </c>
      <c r="D596" s="11">
        <v>300000</v>
      </c>
      <c r="E596" s="11">
        <v>300000</v>
      </c>
      <c r="F596" s="11">
        <f>F599</f>
        <v>330000</v>
      </c>
    </row>
    <row r="597" spans="1:8" x14ac:dyDescent="0.2">
      <c r="A597" s="1" t="s">
        <v>691</v>
      </c>
      <c r="B597" s="1">
        <v>0</v>
      </c>
      <c r="C597" s="1">
        <v>0</v>
      </c>
      <c r="D597" s="1">
        <v>0</v>
      </c>
      <c r="E597" s="17">
        <v>-60000</v>
      </c>
      <c r="F597" s="1">
        <v>0</v>
      </c>
    </row>
    <row r="598" spans="1:8" x14ac:dyDescent="0.2">
      <c r="A598" s="1" t="s">
        <v>1205</v>
      </c>
      <c r="B598" s="1">
        <v>0</v>
      </c>
      <c r="C598" s="1">
        <v>0</v>
      </c>
      <c r="D598" s="11">
        <v>50000</v>
      </c>
      <c r="E598" s="1">
        <v>0</v>
      </c>
      <c r="F598" s="1">
        <v>0</v>
      </c>
    </row>
    <row r="599" spans="1:8" x14ac:dyDescent="0.2">
      <c r="A599" s="1" t="s">
        <v>120</v>
      </c>
      <c r="B599" s="15">
        <v>420000</v>
      </c>
      <c r="C599" s="15">
        <v>450000</v>
      </c>
      <c r="D599" s="15">
        <v>250000</v>
      </c>
      <c r="E599" s="15">
        <v>240000</v>
      </c>
      <c r="F599" s="15">
        <v>330000</v>
      </c>
    </row>
    <row r="601" spans="1:8" x14ac:dyDescent="0.2">
      <c r="A601" s="1" t="s">
        <v>1206</v>
      </c>
      <c r="D601" s="11">
        <v>75000</v>
      </c>
      <c r="E601" s="11">
        <v>50000</v>
      </c>
      <c r="F601" s="11">
        <f>C545</f>
        <v>60000</v>
      </c>
    </row>
    <row r="603" spans="1:8" x14ac:dyDescent="0.2">
      <c r="A603" s="1" t="s">
        <v>1475</v>
      </c>
      <c r="B603" s="11">
        <v>42000</v>
      </c>
      <c r="C603" s="11">
        <v>63000</v>
      </c>
      <c r="D603" s="1">
        <v>0</v>
      </c>
      <c r="E603" s="1">
        <v>0</v>
      </c>
      <c r="F603" s="11">
        <f>C577-E591</f>
        <v>105000</v>
      </c>
      <c r="H603" s="1" t="s">
        <v>1977</v>
      </c>
    </row>
    <row r="605" spans="1:8" x14ac:dyDescent="0.2">
      <c r="A605" s="1" t="s">
        <v>1477</v>
      </c>
      <c r="B605" s="11">
        <v>18000</v>
      </c>
      <c r="C605" s="11">
        <v>27000</v>
      </c>
      <c r="E605" s="1">
        <v>0</v>
      </c>
      <c r="F605" s="17">
        <f>E592</f>
        <v>45000</v>
      </c>
    </row>
    <row r="606" spans="1:8" x14ac:dyDescent="0.2">
      <c r="A606" s="1" t="s">
        <v>1631</v>
      </c>
      <c r="D606" s="17">
        <v>15000</v>
      </c>
      <c r="E606" s="1">
        <v>0</v>
      </c>
    </row>
    <row r="608" spans="1:8" x14ac:dyDescent="0.2">
      <c r="A608" s="1" t="s">
        <v>1632</v>
      </c>
      <c r="D608" s="17">
        <v>19500</v>
      </c>
    </row>
    <row r="609" spans="1:6" x14ac:dyDescent="0.2">
      <c r="A609" s="1" t="s">
        <v>1662</v>
      </c>
      <c r="E609" s="11">
        <v>15000</v>
      </c>
      <c r="F609" s="11"/>
    </row>
  </sheetData>
  <mergeCells count="1">
    <mergeCell ref="A1:H1"/>
  </mergeCells>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8A1D7-1EF7-E047-8613-586B2BFB01D7}">
  <dimension ref="A1:S713"/>
  <sheetViews>
    <sheetView showGridLines="0" rightToLeft="1" topLeftCell="A731" zoomScale="266" zoomScaleNormal="160" zoomScaleSheetLayoutView="191" workbookViewId="0">
      <selection activeCell="D99" sqref="D99"/>
    </sheetView>
  </sheetViews>
  <sheetFormatPr baseColWidth="10" defaultRowHeight="16" x14ac:dyDescent="0.2"/>
  <cols>
    <col min="1" max="10" width="10.83203125" style="1"/>
    <col min="11" max="11" width="13.5" style="1" customWidth="1"/>
    <col min="12" max="16384" width="10.83203125" style="1"/>
  </cols>
  <sheetData>
    <row r="1" spans="1:8" x14ac:dyDescent="0.2">
      <c r="A1" s="359" t="s">
        <v>3570</v>
      </c>
      <c r="B1" s="359"/>
      <c r="C1" s="359"/>
      <c r="D1" s="359"/>
      <c r="E1" s="359"/>
      <c r="F1" s="359"/>
      <c r="G1" s="359"/>
      <c r="H1" s="359"/>
    </row>
    <row r="3" spans="1:8" x14ac:dyDescent="0.2">
      <c r="A3" s="149" t="s">
        <v>1717</v>
      </c>
      <c r="B3" s="149"/>
      <c r="C3" s="149"/>
      <c r="D3" s="149"/>
      <c r="E3" s="149"/>
      <c r="F3" s="149"/>
      <c r="G3" s="149"/>
      <c r="H3" s="149"/>
    </row>
    <row r="4" spans="1:8" x14ac:dyDescent="0.2">
      <c r="A4" s="1" t="s">
        <v>1718</v>
      </c>
    </row>
    <row r="5" spans="1:8" x14ac:dyDescent="0.2">
      <c r="A5" s="1" t="s">
        <v>1719</v>
      </c>
    </row>
    <row r="6" spans="1:8" x14ac:dyDescent="0.2">
      <c r="A6" s="1" t="s">
        <v>1720</v>
      </c>
    </row>
    <row r="7" spans="1:8" x14ac:dyDescent="0.2">
      <c r="A7" s="1" t="s">
        <v>1721</v>
      </c>
    </row>
    <row r="8" spans="1:8" x14ac:dyDescent="0.2">
      <c r="A8" s="1" t="s">
        <v>1722</v>
      </c>
    </row>
    <row r="10" spans="1:8" x14ac:dyDescent="0.2">
      <c r="A10" s="149" t="s">
        <v>1723</v>
      </c>
      <c r="B10" s="149"/>
      <c r="C10" s="149"/>
      <c r="D10" s="149"/>
      <c r="E10" s="149"/>
      <c r="F10" s="149"/>
      <c r="G10" s="149"/>
      <c r="H10" s="149"/>
    </row>
    <row r="11" spans="1:8" x14ac:dyDescent="0.2">
      <c r="A11" s="1" t="s">
        <v>1724</v>
      </c>
    </row>
    <row r="12" spans="1:8" x14ac:dyDescent="0.2">
      <c r="A12" s="1" t="s">
        <v>1725</v>
      </c>
    </row>
    <row r="13" spans="1:8" x14ac:dyDescent="0.2">
      <c r="A13" s="1" t="s">
        <v>1419</v>
      </c>
    </row>
    <row r="14" spans="1:8" x14ac:dyDescent="0.2">
      <c r="A14" s="1" t="s">
        <v>1420</v>
      </c>
    </row>
    <row r="15" spans="1:8" x14ac:dyDescent="0.2">
      <c r="A15" s="1" t="s">
        <v>1726</v>
      </c>
    </row>
    <row r="16" spans="1:8" x14ac:dyDescent="0.2">
      <c r="A16" s="1" t="s">
        <v>1727</v>
      </c>
    </row>
    <row r="17" spans="1:8" x14ac:dyDescent="0.2">
      <c r="A17" s="1" t="s">
        <v>1728</v>
      </c>
    </row>
    <row r="19" spans="1:8" x14ac:dyDescent="0.2">
      <c r="A19" s="149" t="s">
        <v>1729</v>
      </c>
      <c r="B19" s="150"/>
      <c r="C19" s="150"/>
      <c r="D19" s="150"/>
      <c r="E19" s="150"/>
      <c r="F19" s="150"/>
      <c r="G19" s="150"/>
      <c r="H19" s="150"/>
    </row>
    <row r="20" spans="1:8" x14ac:dyDescent="0.2">
      <c r="A20" s="1" t="s">
        <v>1730</v>
      </c>
    </row>
    <row r="21" spans="1:8" x14ac:dyDescent="0.2">
      <c r="A21" s="1" t="s">
        <v>1731</v>
      </c>
    </row>
    <row r="22" spans="1:8" x14ac:dyDescent="0.2">
      <c r="A22" s="1" t="s">
        <v>1732</v>
      </c>
    </row>
    <row r="23" spans="1:8" x14ac:dyDescent="0.2">
      <c r="A23" s="1" t="s">
        <v>1733</v>
      </c>
    </row>
    <row r="24" spans="1:8" x14ac:dyDescent="0.2">
      <c r="A24" s="1" t="s">
        <v>1734</v>
      </c>
    </row>
    <row r="25" spans="1:8" x14ac:dyDescent="0.2">
      <c r="A25" s="1" t="s">
        <v>1735</v>
      </c>
    </row>
    <row r="26" spans="1:8" x14ac:dyDescent="0.2">
      <c r="A26" s="1" t="s">
        <v>1736</v>
      </c>
    </row>
    <row r="27" spans="1:8" x14ac:dyDescent="0.2">
      <c r="A27" s="1" t="s">
        <v>1737</v>
      </c>
    </row>
    <row r="28" spans="1:8" x14ac:dyDescent="0.2">
      <c r="A28" s="1" t="s">
        <v>1738</v>
      </c>
    </row>
    <row r="29" spans="1:8" x14ac:dyDescent="0.2">
      <c r="A29" s="1" t="s">
        <v>1978</v>
      </c>
    </row>
    <row r="30" spans="1:8" x14ac:dyDescent="0.2">
      <c r="A30" s="1" t="s">
        <v>1739</v>
      </c>
    </row>
    <row r="31" spans="1:8" x14ac:dyDescent="0.2">
      <c r="A31" s="1" t="s">
        <v>1740</v>
      </c>
    </row>
    <row r="32" spans="1:8" x14ac:dyDescent="0.2">
      <c r="A32" s="1" t="s">
        <v>1741</v>
      </c>
    </row>
    <row r="33" spans="1:11" x14ac:dyDescent="0.2">
      <c r="A33" s="1" t="s">
        <v>1742</v>
      </c>
    </row>
    <row r="34" spans="1:11" x14ac:dyDescent="0.2">
      <c r="A34" s="1" t="s">
        <v>1743</v>
      </c>
    </row>
    <row r="35" spans="1:11" x14ac:dyDescent="0.2">
      <c r="A35" s="1" t="s">
        <v>1744</v>
      </c>
    </row>
    <row r="36" spans="1:11" x14ac:dyDescent="0.2">
      <c r="A36" s="1" t="s">
        <v>1745</v>
      </c>
    </row>
    <row r="37" spans="1:11" x14ac:dyDescent="0.2">
      <c r="A37" s="1" t="s">
        <v>1746</v>
      </c>
      <c r="K37" s="321"/>
    </row>
    <row r="38" spans="1:11" x14ac:dyDescent="0.2">
      <c r="A38" s="1" t="s">
        <v>1747</v>
      </c>
    </row>
    <row r="39" spans="1:11" x14ac:dyDescent="0.2">
      <c r="A39" s="1" t="s">
        <v>1748</v>
      </c>
    </row>
    <row r="40" spans="1:11" x14ac:dyDescent="0.2">
      <c r="A40" s="1" t="s">
        <v>1749</v>
      </c>
    </row>
    <row r="41" spans="1:11" x14ac:dyDescent="0.2">
      <c r="A41" s="8" t="s">
        <v>1750</v>
      </c>
      <c r="B41" s="21"/>
      <c r="C41" s="21"/>
      <c r="D41" s="21"/>
      <c r="E41" s="21"/>
      <c r="F41" s="21"/>
      <c r="G41" s="21"/>
      <c r="H41" s="21"/>
    </row>
    <row r="42" spans="1:11" x14ac:dyDescent="0.2">
      <c r="A42" s="8" t="s">
        <v>1751</v>
      </c>
      <c r="B42" s="21"/>
      <c r="C42" s="21"/>
      <c r="D42" s="21"/>
      <c r="E42" s="21"/>
      <c r="F42" s="21"/>
      <c r="G42" s="21"/>
      <c r="H42" s="21"/>
    </row>
    <row r="43" spans="1:11" x14ac:dyDescent="0.2">
      <c r="A43" s="8" t="s">
        <v>1752</v>
      </c>
      <c r="B43" s="21"/>
      <c r="C43" s="21"/>
      <c r="D43" s="21"/>
      <c r="E43" s="21"/>
      <c r="F43" s="21"/>
      <c r="G43" s="21"/>
      <c r="H43" s="21"/>
    </row>
    <row r="44" spans="1:11" x14ac:dyDescent="0.2">
      <c r="A44" s="1" t="s">
        <v>1753</v>
      </c>
    </row>
    <row r="45" spans="1:11" x14ac:dyDescent="0.2">
      <c r="A45" s="1" t="s">
        <v>1754</v>
      </c>
    </row>
    <row r="46" spans="1:11" x14ac:dyDescent="0.2">
      <c r="A46" s="1" t="s">
        <v>1755</v>
      </c>
    </row>
    <row r="47" spans="1:11" x14ac:dyDescent="0.2">
      <c r="A47" s="1" t="s">
        <v>1756</v>
      </c>
    </row>
    <row r="48" spans="1:11" x14ac:dyDescent="0.2">
      <c r="A48" s="1" t="s">
        <v>1757</v>
      </c>
    </row>
    <row r="49" spans="1:7" x14ac:dyDescent="0.2">
      <c r="A49" s="1" t="s">
        <v>1758</v>
      </c>
    </row>
    <row r="50" spans="1:7" x14ac:dyDescent="0.2">
      <c r="A50" s="1" t="s">
        <v>1759</v>
      </c>
    </row>
    <row r="52" spans="1:7" x14ac:dyDescent="0.2">
      <c r="C52" s="41" t="s">
        <v>168</v>
      </c>
      <c r="D52" s="41" t="s">
        <v>1760</v>
      </c>
    </row>
    <row r="53" spans="1:7" x14ac:dyDescent="0.2">
      <c r="B53" s="2">
        <v>43465</v>
      </c>
      <c r="C53" s="42">
        <v>525000</v>
      </c>
      <c r="D53" s="42">
        <v>550000</v>
      </c>
      <c r="G53" s="11"/>
    </row>
    <row r="54" spans="1:7" x14ac:dyDescent="0.2">
      <c r="B54" s="2">
        <v>43830</v>
      </c>
      <c r="C54" s="42">
        <v>600000</v>
      </c>
      <c r="D54" s="42">
        <v>650000</v>
      </c>
    </row>
    <row r="55" spans="1:7" x14ac:dyDescent="0.2">
      <c r="B55" s="2">
        <v>44196</v>
      </c>
      <c r="C55" s="42">
        <v>475000</v>
      </c>
      <c r="D55" s="42">
        <v>300000</v>
      </c>
    </row>
    <row r="56" spans="1:7" x14ac:dyDescent="0.2">
      <c r="B56" s="2">
        <v>44561</v>
      </c>
      <c r="C56" s="42">
        <v>400000</v>
      </c>
      <c r="D56" s="42">
        <v>240000</v>
      </c>
    </row>
    <row r="57" spans="1:7" x14ac:dyDescent="0.2">
      <c r="B57" s="2">
        <v>44926</v>
      </c>
      <c r="C57" s="42">
        <v>425000</v>
      </c>
      <c r="D57" s="42">
        <v>310000</v>
      </c>
    </row>
    <row r="59" spans="1:7" x14ac:dyDescent="0.2">
      <c r="A59" s="1" t="s">
        <v>683</v>
      </c>
    </row>
    <row r="60" spans="1:7" x14ac:dyDescent="0.2">
      <c r="A60" s="1" t="s">
        <v>1761</v>
      </c>
    </row>
    <row r="61" spans="1:7" x14ac:dyDescent="0.2">
      <c r="A61" s="1" t="s">
        <v>1762</v>
      </c>
    </row>
    <row r="62" spans="1:7" x14ac:dyDescent="0.2">
      <c r="B62" s="1" t="s">
        <v>1763</v>
      </c>
    </row>
    <row r="63" spans="1:7" x14ac:dyDescent="0.2">
      <c r="B63" s="1" t="s">
        <v>1764</v>
      </c>
    </row>
    <row r="64" spans="1:7" x14ac:dyDescent="0.2">
      <c r="B64" s="1" t="s">
        <v>1765</v>
      </c>
    </row>
    <row r="65" spans="1:15" x14ac:dyDescent="0.2">
      <c r="B65" s="1" t="s">
        <v>1766</v>
      </c>
      <c r="O65"/>
    </row>
    <row r="66" spans="1:15" x14ac:dyDescent="0.2">
      <c r="B66" s="1" t="s">
        <v>1767</v>
      </c>
    </row>
    <row r="67" spans="1:15" x14ac:dyDescent="0.2">
      <c r="B67" s="1" t="s">
        <v>1768</v>
      </c>
    </row>
    <row r="68" spans="1:15" x14ac:dyDescent="0.2">
      <c r="B68" s="1" t="s">
        <v>1769</v>
      </c>
    </row>
    <row r="70" spans="1:15" x14ac:dyDescent="0.2">
      <c r="A70" s="149" t="s">
        <v>1729</v>
      </c>
      <c r="B70" s="150"/>
      <c r="C70" s="150"/>
      <c r="D70" s="150"/>
      <c r="E70" s="150"/>
      <c r="F70" s="150"/>
      <c r="G70" s="150"/>
      <c r="H70" s="150"/>
    </row>
    <row r="71" spans="1:15" x14ac:dyDescent="0.2">
      <c r="A71" s="1" t="s">
        <v>3571</v>
      </c>
    </row>
    <row r="72" spans="1:15" x14ac:dyDescent="0.2">
      <c r="A72" s="1" t="s">
        <v>3572</v>
      </c>
    </row>
    <row r="73" spans="1:15" x14ac:dyDescent="0.2">
      <c r="A73" s="1" t="s">
        <v>3573</v>
      </c>
    </row>
    <row r="74" spans="1:15" x14ac:dyDescent="0.2">
      <c r="A74" s="1" t="s">
        <v>3575</v>
      </c>
    </row>
    <row r="75" spans="1:15" x14ac:dyDescent="0.2">
      <c r="A75" s="1" t="s">
        <v>3574</v>
      </c>
    </row>
    <row r="76" spans="1:15" x14ac:dyDescent="0.2">
      <c r="A76" s="1" t="s">
        <v>3576</v>
      </c>
    </row>
    <row r="77" spans="1:15" x14ac:dyDescent="0.2">
      <c r="A77" s="1" t="s">
        <v>3577</v>
      </c>
    </row>
    <row r="79" spans="1:15" x14ac:dyDescent="0.2">
      <c r="C79" s="41" t="s">
        <v>168</v>
      </c>
      <c r="D79" s="41" t="s">
        <v>1760</v>
      </c>
    </row>
    <row r="80" spans="1:15" hidden="1" x14ac:dyDescent="0.2">
      <c r="B80" s="2">
        <v>43465</v>
      </c>
      <c r="C80" s="42">
        <v>525000</v>
      </c>
      <c r="D80" s="42">
        <v>550000</v>
      </c>
      <c r="G80" s="11"/>
    </row>
    <row r="81" spans="2:14" hidden="1" x14ac:dyDescent="0.2">
      <c r="B81" s="2">
        <v>43830</v>
      </c>
      <c r="C81" s="42">
        <v>600000</v>
      </c>
      <c r="D81" s="42">
        <v>650000</v>
      </c>
    </row>
    <row r="82" spans="2:14" hidden="1" x14ac:dyDescent="0.2">
      <c r="B82" s="2">
        <v>44196</v>
      </c>
      <c r="C82" s="42">
        <v>475000</v>
      </c>
      <c r="D82" s="42">
        <v>300000</v>
      </c>
    </row>
    <row r="83" spans="2:14" hidden="1" x14ac:dyDescent="0.2">
      <c r="B83" s="2">
        <v>44561</v>
      </c>
      <c r="C83" s="42">
        <v>400000</v>
      </c>
      <c r="D83" s="42">
        <v>240000</v>
      </c>
    </row>
    <row r="84" spans="2:14" x14ac:dyDescent="0.2">
      <c r="B84" s="2">
        <v>44926</v>
      </c>
      <c r="C84" s="42">
        <v>420000</v>
      </c>
      <c r="D84" s="42">
        <v>310000</v>
      </c>
    </row>
    <row r="85" spans="2:14" ht="17" thickBot="1" x14ac:dyDescent="0.25"/>
    <row r="86" spans="2:14" x14ac:dyDescent="0.2">
      <c r="D86" s="7" t="s">
        <v>3581</v>
      </c>
      <c r="E86" s="7" t="s">
        <v>3583</v>
      </c>
      <c r="F86" s="198" t="s">
        <v>3512</v>
      </c>
      <c r="G86" s="7" t="s">
        <v>3583</v>
      </c>
      <c r="H86" s="198" t="s">
        <v>3512</v>
      </c>
      <c r="I86" s="7" t="s">
        <v>3583</v>
      </c>
      <c r="J86" s="198" t="s">
        <v>3512</v>
      </c>
      <c r="K86" s="7" t="s">
        <v>3606</v>
      </c>
      <c r="L86" s="198" t="s">
        <v>3512</v>
      </c>
      <c r="M86" s="7" t="s">
        <v>3583</v>
      </c>
      <c r="N86" s="198" t="s">
        <v>3512</v>
      </c>
    </row>
    <row r="87" spans="2:14" x14ac:dyDescent="0.2">
      <c r="D87" s="108">
        <v>43101</v>
      </c>
      <c r="E87" s="108">
        <v>43465</v>
      </c>
      <c r="F87" s="324">
        <v>43465</v>
      </c>
      <c r="G87" s="108">
        <v>43830</v>
      </c>
      <c r="H87" s="324">
        <v>43830</v>
      </c>
      <c r="I87" s="108">
        <v>44196</v>
      </c>
      <c r="J87" s="324">
        <v>44196</v>
      </c>
      <c r="K87" s="108">
        <v>44561</v>
      </c>
      <c r="L87" s="324">
        <v>44561</v>
      </c>
      <c r="M87" s="108">
        <v>44926</v>
      </c>
      <c r="N87" s="324">
        <v>44926</v>
      </c>
    </row>
    <row r="88" spans="2:14" x14ac:dyDescent="0.2">
      <c r="B88" s="1" t="s">
        <v>1542</v>
      </c>
      <c r="D88" s="109">
        <f>500000*(1+5%)^-2</f>
        <v>453514.73922902491</v>
      </c>
      <c r="E88" s="109">
        <f>D88</f>
        <v>453514.73922902491</v>
      </c>
      <c r="F88" s="325">
        <f>C80</f>
        <v>525000</v>
      </c>
      <c r="G88" s="109">
        <f>F88</f>
        <v>525000</v>
      </c>
      <c r="H88" s="325">
        <v>600000</v>
      </c>
      <c r="I88" s="109">
        <f>H88</f>
        <v>600000</v>
      </c>
      <c r="J88" s="325">
        <f>J91-J90-J89</f>
        <v>396825.39682539681</v>
      </c>
      <c r="K88" s="109">
        <f>K91-K90-K89</f>
        <v>396825.39682539681</v>
      </c>
      <c r="L88" s="325">
        <f>L91-L90-L89</f>
        <v>396825.39682539681</v>
      </c>
      <c r="M88" s="109">
        <f>L88</f>
        <v>396825.39682539681</v>
      </c>
      <c r="N88" s="325">
        <f>N91</f>
        <v>420000</v>
      </c>
    </row>
    <row r="89" spans="2:14" x14ac:dyDescent="0.2">
      <c r="B89" s="1" t="s">
        <v>691</v>
      </c>
      <c r="D89" s="109">
        <v>0</v>
      </c>
      <c r="E89" s="109">
        <f>D89</f>
        <v>0</v>
      </c>
      <c r="F89" s="325">
        <v>0</v>
      </c>
      <c r="G89" s="109">
        <v>0</v>
      </c>
      <c r="H89" s="325">
        <v>0</v>
      </c>
      <c r="I89" s="109">
        <f>-I95</f>
        <v>-75000</v>
      </c>
      <c r="J89" s="325">
        <v>0</v>
      </c>
      <c r="K89" s="109">
        <f>J89-K95+J90/7</f>
        <v>-56689.342403628114</v>
      </c>
      <c r="L89" s="325">
        <f>K89</f>
        <v>-56689.342403628114</v>
      </c>
      <c r="M89" s="109">
        <f>L89-M95+L90/6</f>
        <v>-113378.68480725623</v>
      </c>
      <c r="N89" s="325">
        <v>0</v>
      </c>
    </row>
    <row r="90" spans="2:14" x14ac:dyDescent="0.2">
      <c r="B90" s="1" t="s">
        <v>1205</v>
      </c>
      <c r="D90" s="109">
        <v>0</v>
      </c>
      <c r="E90" s="109">
        <f>D90</f>
        <v>0</v>
      </c>
      <c r="F90" s="325">
        <v>0</v>
      </c>
      <c r="G90" s="109">
        <v>0</v>
      </c>
      <c r="H90" s="325">
        <v>0</v>
      </c>
      <c r="I90" s="109"/>
      <c r="J90" s="325">
        <f>-E127</f>
        <v>-96825.396825396805</v>
      </c>
      <c r="K90" s="109">
        <f>J90*6/7</f>
        <v>-82993.197278911553</v>
      </c>
      <c r="L90" s="325">
        <f>K90-L100</f>
        <v>-100136.05442176871</v>
      </c>
      <c r="M90" s="109">
        <f>L90*5/6</f>
        <v>-83446.712018140592</v>
      </c>
      <c r="N90" s="325">
        <v>0</v>
      </c>
    </row>
    <row r="91" spans="2:14" x14ac:dyDescent="0.2">
      <c r="B91" s="1" t="s">
        <v>120</v>
      </c>
      <c r="D91" s="109">
        <f>D88</f>
        <v>453514.73922902491</v>
      </c>
      <c r="E91" s="109">
        <f>D91</f>
        <v>453514.73922902491</v>
      </c>
      <c r="F91" s="325">
        <f>F88</f>
        <v>525000</v>
      </c>
      <c r="G91" s="109">
        <f>F91</f>
        <v>525000</v>
      </c>
      <c r="H91" s="325">
        <f>H88</f>
        <v>600000</v>
      </c>
      <c r="I91" s="109">
        <f>I88+I89+I90</f>
        <v>525000</v>
      </c>
      <c r="J91" s="325">
        <v>300000</v>
      </c>
      <c r="K91" s="109">
        <f>J91-K95</f>
        <v>257142.85714285716</v>
      </c>
      <c r="L91" s="325">
        <f>D83</f>
        <v>240000</v>
      </c>
      <c r="M91" s="109">
        <f>SUM(M88:M90)</f>
        <v>200000</v>
      </c>
      <c r="N91" s="325">
        <f>C84</f>
        <v>420000</v>
      </c>
    </row>
    <row r="92" spans="2:14" x14ac:dyDescent="0.2">
      <c r="D92" s="109"/>
      <c r="E92" s="109"/>
      <c r="F92" s="325"/>
      <c r="G92" s="109"/>
      <c r="H92" s="325"/>
      <c r="I92" s="109"/>
      <c r="J92" s="325"/>
      <c r="K92" s="109"/>
      <c r="L92" s="325"/>
      <c r="M92" s="109"/>
      <c r="N92" s="325"/>
    </row>
    <row r="93" spans="2:14" x14ac:dyDescent="0.2">
      <c r="B93" s="1" t="s">
        <v>3582</v>
      </c>
      <c r="D93" s="109">
        <f>D88</f>
        <v>453514.73922902491</v>
      </c>
      <c r="E93" s="109">
        <f>D93*1.05</f>
        <v>476190.47619047615</v>
      </c>
      <c r="F93" s="325">
        <f>E93</f>
        <v>476190.47619047615</v>
      </c>
      <c r="G93" s="109">
        <v>0</v>
      </c>
      <c r="H93" s="325">
        <v>0</v>
      </c>
      <c r="I93" s="109">
        <v>0</v>
      </c>
      <c r="J93" s="325">
        <v>0</v>
      </c>
      <c r="K93" s="109">
        <v>0</v>
      </c>
      <c r="L93" s="325">
        <v>0</v>
      </c>
      <c r="M93" s="109">
        <v>0</v>
      </c>
      <c r="N93" s="325">
        <v>0</v>
      </c>
    </row>
    <row r="94" spans="2:14" x14ac:dyDescent="0.2">
      <c r="D94" s="109"/>
      <c r="E94" s="109"/>
      <c r="F94" s="326"/>
      <c r="G94" s="109"/>
      <c r="H94" s="326"/>
      <c r="I94" s="109"/>
      <c r="J94" s="326"/>
      <c r="K94" s="109"/>
      <c r="L94" s="326"/>
      <c r="M94" s="109"/>
      <c r="N94" s="326"/>
    </row>
    <row r="95" spans="2:14" x14ac:dyDescent="0.2">
      <c r="B95" s="1" t="s">
        <v>1206</v>
      </c>
      <c r="D95" s="291"/>
      <c r="E95" s="291"/>
      <c r="F95" s="327"/>
      <c r="G95" s="291"/>
      <c r="H95" s="327"/>
      <c r="I95" s="109">
        <f>H91/8</f>
        <v>75000</v>
      </c>
      <c r="J95" s="325">
        <f>I95</f>
        <v>75000</v>
      </c>
      <c r="K95" s="109">
        <f>J91/7</f>
        <v>42857.142857142855</v>
      </c>
      <c r="L95" s="325">
        <f>K95</f>
        <v>42857.142857142855</v>
      </c>
      <c r="M95" s="109">
        <f>L91/6</f>
        <v>40000</v>
      </c>
      <c r="N95" s="325">
        <f>M95</f>
        <v>40000</v>
      </c>
    </row>
    <row r="96" spans="2:14" x14ac:dyDescent="0.2">
      <c r="D96" s="109"/>
      <c r="E96" s="109"/>
      <c r="F96" s="326"/>
      <c r="G96" s="109"/>
      <c r="H96" s="326"/>
      <c r="I96" s="109"/>
      <c r="J96" s="326"/>
      <c r="K96" s="109"/>
      <c r="L96" s="326"/>
      <c r="M96" s="109"/>
      <c r="N96" s="326"/>
    </row>
    <row r="97" spans="2:14" x14ac:dyDescent="0.2">
      <c r="B97" s="1" t="s">
        <v>3584</v>
      </c>
      <c r="D97" s="109"/>
      <c r="E97" s="109">
        <f>E93-D93</f>
        <v>22675.736961451243</v>
      </c>
      <c r="F97" s="325">
        <f>E97</f>
        <v>22675.736961451243</v>
      </c>
      <c r="G97" s="109">
        <f>500000-F93</f>
        <v>23809.523809523846</v>
      </c>
      <c r="H97" s="325">
        <f>G97</f>
        <v>23809.523809523846</v>
      </c>
      <c r="I97" s="109">
        <v>0</v>
      </c>
      <c r="J97" s="325">
        <v>0</v>
      </c>
      <c r="K97" s="109">
        <v>0</v>
      </c>
      <c r="L97" s="325">
        <v>0</v>
      </c>
      <c r="M97" s="109">
        <v>0</v>
      </c>
      <c r="N97" s="325">
        <v>0</v>
      </c>
    </row>
    <row r="98" spans="2:14" x14ac:dyDescent="0.2">
      <c r="D98" s="109"/>
      <c r="E98" s="109"/>
      <c r="F98" s="326"/>
      <c r="G98" s="109"/>
      <c r="H98" s="326"/>
      <c r="I98" s="109"/>
      <c r="J98" s="326"/>
      <c r="K98" s="109"/>
      <c r="L98" s="326"/>
      <c r="M98" s="109"/>
      <c r="N98" s="326"/>
    </row>
    <row r="99" spans="2:14" x14ac:dyDescent="0.2">
      <c r="B99" s="1" t="s">
        <v>312</v>
      </c>
      <c r="D99" s="7"/>
      <c r="E99" s="7"/>
      <c r="F99" s="326"/>
      <c r="G99" s="7"/>
      <c r="H99" s="326"/>
      <c r="I99" s="7"/>
      <c r="J99" s="325"/>
      <c r="K99" s="7"/>
      <c r="L99" s="325"/>
      <c r="M99" s="7"/>
      <c r="N99" s="325">
        <f>-M90</f>
        <v>83446.712018140592</v>
      </c>
    </row>
    <row r="100" spans="2:14" x14ac:dyDescent="0.2">
      <c r="B100" s="1" t="s">
        <v>318</v>
      </c>
      <c r="D100" s="7"/>
      <c r="E100" s="7"/>
      <c r="F100" s="201"/>
      <c r="G100" s="7"/>
      <c r="H100" s="201"/>
      <c r="I100" s="7"/>
      <c r="J100" s="325">
        <f>-G114</f>
        <v>96825.396825396805</v>
      </c>
      <c r="K100" s="7"/>
      <c r="L100" s="325">
        <f>K91-L91</f>
        <v>17142.857142857159</v>
      </c>
      <c r="M100" s="7"/>
      <c r="N100" s="325"/>
    </row>
    <row r="101" spans="2:14" x14ac:dyDescent="0.2">
      <c r="D101" s="7"/>
      <c r="F101" s="201"/>
      <c r="H101" s="201"/>
      <c r="J101" s="201"/>
      <c r="L101" s="201"/>
      <c r="N101" s="201"/>
    </row>
    <row r="102" spans="2:14" x14ac:dyDescent="0.2">
      <c r="B102" s="1" t="s">
        <v>3585</v>
      </c>
      <c r="D102" s="7"/>
      <c r="F102" s="325">
        <f>(F91-E91)*(1-23%)</f>
        <v>55043.650793650821</v>
      </c>
      <c r="G102" s="7" t="s">
        <v>3601</v>
      </c>
      <c r="H102" s="325">
        <f>(H91-G91)*(1-23%)</f>
        <v>57750</v>
      </c>
      <c r="I102" s="7" t="s">
        <v>3601</v>
      </c>
      <c r="J102" s="325">
        <f>-H103</f>
        <v>-112793.65079365083</v>
      </c>
      <c r="L102" s="325"/>
      <c r="M102" s="7"/>
      <c r="N102" s="325">
        <f>(N91-M91-N99)*(1-23%)</f>
        <v>105146.03174603175</v>
      </c>
    </row>
    <row r="103" spans="2:14" x14ac:dyDescent="0.2">
      <c r="B103" s="1" t="s">
        <v>3578</v>
      </c>
      <c r="F103" s="325">
        <f>F102</f>
        <v>55043.650793650821</v>
      </c>
      <c r="G103" s="109" t="s">
        <v>2451</v>
      </c>
      <c r="H103" s="325">
        <f>H102+F103</f>
        <v>112793.65079365083</v>
      </c>
      <c r="I103" s="109" t="s">
        <v>2451</v>
      </c>
      <c r="J103" s="325">
        <v>0</v>
      </c>
      <c r="K103" s="109"/>
      <c r="L103" s="325"/>
      <c r="M103" s="109"/>
      <c r="N103" s="325">
        <f>N102</f>
        <v>105146.03174603175</v>
      </c>
    </row>
    <row r="104" spans="2:14" x14ac:dyDescent="0.2">
      <c r="F104" s="201"/>
      <c r="G104" s="7" t="s">
        <v>3565</v>
      </c>
      <c r="H104" s="201"/>
      <c r="I104" s="7" t="s">
        <v>3565</v>
      </c>
      <c r="J104" s="201"/>
      <c r="K104" s="7" t="s">
        <v>3601</v>
      </c>
      <c r="L104" s="201"/>
      <c r="M104" s="7" t="s">
        <v>3601</v>
      </c>
      <c r="N104" s="201"/>
    </row>
    <row r="105" spans="2:14" x14ac:dyDescent="0.2">
      <c r="B105" s="1" t="s">
        <v>1887</v>
      </c>
      <c r="F105" s="201"/>
      <c r="G105" s="7" t="s">
        <v>3602</v>
      </c>
      <c r="H105" s="201"/>
      <c r="I105" s="7" t="s">
        <v>3602</v>
      </c>
      <c r="J105" s="325">
        <f>G116</f>
        <v>22269.841269841265</v>
      </c>
      <c r="K105" s="7" t="s">
        <v>3602</v>
      </c>
      <c r="L105" s="325">
        <f>H116</f>
        <v>23031.292517006787</v>
      </c>
      <c r="M105" s="7" t="s">
        <v>3602</v>
      </c>
      <c r="N105" s="325"/>
    </row>
    <row r="106" spans="2:14" x14ac:dyDescent="0.2">
      <c r="B106" s="1" t="s">
        <v>3579</v>
      </c>
      <c r="F106" s="325">
        <f>-E116</f>
        <v>16441.609977324271</v>
      </c>
      <c r="G106" s="109" t="s">
        <v>3603</v>
      </c>
      <c r="H106" s="325">
        <f>-F116</f>
        <v>33691.609977324275</v>
      </c>
      <c r="I106" s="109" t="s">
        <v>3603</v>
      </c>
      <c r="J106" s="325"/>
      <c r="K106" s="109" t="s">
        <v>3603</v>
      </c>
      <c r="L106" s="325"/>
      <c r="M106" s="109" t="s">
        <v>3603</v>
      </c>
      <c r="N106" s="325">
        <f>-I116</f>
        <v>31407.256235827677</v>
      </c>
    </row>
    <row r="107" spans="2:14" x14ac:dyDescent="0.2">
      <c r="B107" s="1" t="s">
        <v>3580</v>
      </c>
      <c r="F107" s="201"/>
      <c r="G107" s="7" t="s">
        <v>3604</v>
      </c>
      <c r="H107" s="201"/>
      <c r="I107" s="7" t="s">
        <v>3604</v>
      </c>
      <c r="J107" s="325"/>
      <c r="K107" s="7" t="s">
        <v>3604</v>
      </c>
      <c r="L107" s="325"/>
      <c r="M107" s="7" t="s">
        <v>3604</v>
      </c>
      <c r="N107" s="325">
        <f>L105</f>
        <v>23031.292517006787</v>
      </c>
    </row>
    <row r="108" spans="2:14" ht="17" thickBot="1" x14ac:dyDescent="0.25">
      <c r="B108" s="1" t="s">
        <v>1833</v>
      </c>
      <c r="F108" s="197"/>
      <c r="G108" s="7" t="s">
        <v>3605</v>
      </c>
      <c r="H108" s="197"/>
      <c r="I108" s="7" t="s">
        <v>3605</v>
      </c>
      <c r="J108" s="328">
        <f>E133+E134</f>
        <v>26481.292517006797</v>
      </c>
      <c r="K108" s="7" t="s">
        <v>3605</v>
      </c>
      <c r="L108" s="329">
        <f>L105-J105</f>
        <v>761.45124716552164</v>
      </c>
      <c r="M108" s="7" t="s">
        <v>3605</v>
      </c>
      <c r="N108" s="329"/>
    </row>
    <row r="111" spans="2:14" x14ac:dyDescent="0.2">
      <c r="D111" s="108">
        <v>43101</v>
      </c>
      <c r="E111" s="108">
        <v>43465</v>
      </c>
      <c r="F111" s="108">
        <v>43830</v>
      </c>
      <c r="G111" s="108">
        <v>44196</v>
      </c>
      <c r="H111" s="108">
        <v>44561</v>
      </c>
      <c r="I111" s="108">
        <v>44926</v>
      </c>
    </row>
    <row r="112" spans="2:14" x14ac:dyDescent="0.2">
      <c r="B112" s="1" t="s">
        <v>1492</v>
      </c>
      <c r="D112" s="109">
        <f>D88</f>
        <v>453514.73922902491</v>
      </c>
      <c r="E112" s="109">
        <f>F88</f>
        <v>525000</v>
      </c>
      <c r="F112" s="109">
        <f>H88</f>
        <v>600000</v>
      </c>
      <c r="G112" s="109">
        <f>J91</f>
        <v>300000</v>
      </c>
      <c r="H112" s="109">
        <f>L91</f>
        <v>240000</v>
      </c>
      <c r="I112" s="109">
        <f>N91</f>
        <v>420000</v>
      </c>
    </row>
    <row r="113" spans="1:14" x14ac:dyDescent="0.2">
      <c r="B113" s="1" t="s">
        <v>1468</v>
      </c>
      <c r="D113" s="109">
        <f>D112</f>
        <v>453514.73922902491</v>
      </c>
      <c r="E113" s="109">
        <f>D113</f>
        <v>453514.73922902491</v>
      </c>
      <c r="F113" s="109">
        <f>E113</f>
        <v>453514.73922902491</v>
      </c>
      <c r="G113" s="109">
        <f>F113*7/8</f>
        <v>396825.39682539681</v>
      </c>
      <c r="H113" s="109">
        <f>G113*6/7</f>
        <v>340136.05442176864</v>
      </c>
      <c r="I113" s="109">
        <f>H113*5/6</f>
        <v>283446.71201814053</v>
      </c>
      <c r="N113" s="17"/>
    </row>
    <row r="114" spans="1:14" x14ac:dyDescent="0.2">
      <c r="B114" s="1" t="s">
        <v>3587</v>
      </c>
      <c r="D114" s="111">
        <f t="shared" ref="D114:I114" si="0">D112-D113</f>
        <v>0</v>
      </c>
      <c r="E114" s="111">
        <f t="shared" si="0"/>
        <v>71485.260770975088</v>
      </c>
      <c r="F114" s="111">
        <f t="shared" si="0"/>
        <v>146485.26077097509</v>
      </c>
      <c r="G114" s="111">
        <f t="shared" si="0"/>
        <v>-96825.396825396805</v>
      </c>
      <c r="H114" s="111">
        <f t="shared" si="0"/>
        <v>-100136.05442176864</v>
      </c>
      <c r="I114" s="111">
        <f t="shared" si="0"/>
        <v>136553.28798185947</v>
      </c>
    </row>
    <row r="115" spans="1:14" x14ac:dyDescent="0.2">
      <c r="B115" s="1" t="s">
        <v>1469</v>
      </c>
      <c r="D115" s="323">
        <v>0.23</v>
      </c>
      <c r="E115" s="323">
        <v>0.23</v>
      </c>
      <c r="F115" s="323">
        <v>0.23</v>
      </c>
      <c r="G115" s="323">
        <v>0.23</v>
      </c>
      <c r="H115" s="323">
        <v>0.23</v>
      </c>
      <c r="I115" s="323">
        <v>0.23</v>
      </c>
    </row>
    <row r="116" spans="1:14" x14ac:dyDescent="0.2">
      <c r="B116" s="1" t="s">
        <v>3586</v>
      </c>
      <c r="D116" s="111">
        <f>D114*D115</f>
        <v>0</v>
      </c>
      <c r="E116" s="111">
        <f>-E114*E115</f>
        <v>-16441.609977324271</v>
      </c>
      <c r="F116" s="111">
        <f>F114*-F115</f>
        <v>-33691.609977324275</v>
      </c>
      <c r="G116" s="111">
        <f>G114*-G115</f>
        <v>22269.841269841265</v>
      </c>
      <c r="H116" s="111">
        <f>H114*-H115</f>
        <v>23031.292517006787</v>
      </c>
      <c r="I116" s="111">
        <f>I114*-I115</f>
        <v>-31407.256235827677</v>
      </c>
    </row>
    <row r="118" spans="1:14" x14ac:dyDescent="0.2">
      <c r="B118" s="3" t="s">
        <v>3588</v>
      </c>
    </row>
    <row r="119" spans="1:14" x14ac:dyDescent="0.2">
      <c r="E119" s="41">
        <v>2020</v>
      </c>
    </row>
    <row r="120" spans="1:14" x14ac:dyDescent="0.2">
      <c r="B120" s="1" t="s">
        <v>3589</v>
      </c>
      <c r="E120" s="109">
        <f>H103</f>
        <v>112793.65079365083</v>
      </c>
    </row>
    <row r="121" spans="1:14" x14ac:dyDescent="0.2">
      <c r="B121" s="1" t="s">
        <v>3590</v>
      </c>
      <c r="E121" s="111">
        <f>E120/(1-23%)</f>
        <v>146485.26077097509</v>
      </c>
      <c r="F121" s="17"/>
    </row>
    <row r="122" spans="1:14" x14ac:dyDescent="0.2">
      <c r="B122" s="1" t="s">
        <v>3591</v>
      </c>
      <c r="E122" s="109">
        <f>-E121/8</f>
        <v>-18310.657596371886</v>
      </c>
    </row>
    <row r="123" spans="1:14" x14ac:dyDescent="0.2">
      <c r="A123" s="17"/>
      <c r="B123" s="1" t="s">
        <v>3592</v>
      </c>
      <c r="E123" s="111">
        <f>SUM(E121:E122)</f>
        <v>128174.60317460319</v>
      </c>
    </row>
    <row r="125" spans="1:14" x14ac:dyDescent="0.2">
      <c r="B125" s="1" t="s">
        <v>3593</v>
      </c>
      <c r="E125" s="109">
        <f>I91-J91</f>
        <v>225000</v>
      </c>
    </row>
    <row r="127" spans="1:14" x14ac:dyDescent="0.2">
      <c r="B127" s="1" t="s">
        <v>3594</v>
      </c>
      <c r="E127" s="111">
        <f>E125-E123</f>
        <v>96825.396825396805</v>
      </c>
    </row>
    <row r="129" spans="2:7" x14ac:dyDescent="0.2">
      <c r="B129" s="3" t="s">
        <v>3595</v>
      </c>
    </row>
    <row r="130" spans="2:7" x14ac:dyDescent="0.2">
      <c r="E130" s="41">
        <v>2020</v>
      </c>
    </row>
    <row r="131" spans="2:7" x14ac:dyDescent="0.2">
      <c r="B131" s="1" t="s">
        <v>3596</v>
      </c>
      <c r="E131" s="109">
        <f>F116</f>
        <v>-33691.609977324275</v>
      </c>
    </row>
    <row r="132" spans="2:7" x14ac:dyDescent="0.2">
      <c r="B132" s="1" t="s">
        <v>3598</v>
      </c>
      <c r="E132" s="109">
        <f>E121*7/8*23%</f>
        <v>29480.158730158735</v>
      </c>
      <c r="G132" s="1" t="s">
        <v>3599</v>
      </c>
    </row>
    <row r="133" spans="2:7" x14ac:dyDescent="0.2">
      <c r="B133" s="1" t="s">
        <v>3607</v>
      </c>
      <c r="E133" s="109">
        <f>F114/8*23%</f>
        <v>4211.4512471655344</v>
      </c>
      <c r="G133" s="1" t="s">
        <v>3597</v>
      </c>
    </row>
    <row r="134" spans="2:7" x14ac:dyDescent="0.2">
      <c r="B134" s="1" t="s">
        <v>3608</v>
      </c>
      <c r="E134" s="109">
        <f>E127*23%</f>
        <v>22269.841269841265</v>
      </c>
      <c r="G134" s="1" t="s">
        <v>3207</v>
      </c>
    </row>
    <row r="135" spans="2:7" x14ac:dyDescent="0.2">
      <c r="B135" s="1" t="s">
        <v>3600</v>
      </c>
      <c r="E135" s="111">
        <f>SUM(E131:E134)</f>
        <v>22269.841269841258</v>
      </c>
    </row>
    <row r="198" spans="1:15" x14ac:dyDescent="0.2">
      <c r="A198" s="149" t="s">
        <v>1770</v>
      </c>
      <c r="B198" s="150"/>
      <c r="C198" s="150"/>
      <c r="D198" s="150"/>
      <c r="E198" s="150"/>
      <c r="F198" s="150"/>
      <c r="G198" s="150"/>
      <c r="H198" s="150"/>
    </row>
    <row r="200" spans="1:15" x14ac:dyDescent="0.2">
      <c r="A200" s="4" t="s">
        <v>1771</v>
      </c>
      <c r="B200" s="4"/>
      <c r="C200" s="4"/>
      <c r="D200" s="4"/>
      <c r="E200" s="4"/>
      <c r="F200" s="4"/>
      <c r="G200" s="4"/>
      <c r="H200" s="4"/>
      <c r="O200" s="121">
        <f>-70+70/4*0.4*PV(10%,4,-1)-14*0.6*PV(10%,10,-1)</f>
        <v>-99.425305563474296</v>
      </c>
    </row>
    <row r="201" spans="1:15" x14ac:dyDescent="0.2">
      <c r="A201" s="1" t="s">
        <v>1772</v>
      </c>
    </row>
    <row r="202" spans="1:15" x14ac:dyDescent="0.2">
      <c r="A202" s="1" t="s">
        <v>1773</v>
      </c>
    </row>
    <row r="203" spans="1:15" x14ac:dyDescent="0.2">
      <c r="A203" s="1" t="s">
        <v>1774</v>
      </c>
      <c r="O203" s="322">
        <f>PV(10%,40,-1)</f>
        <v>9.7790507184781994</v>
      </c>
    </row>
    <row r="204" spans="1:15" x14ac:dyDescent="0.2">
      <c r="A204" s="1" t="s">
        <v>1775</v>
      </c>
    </row>
    <row r="205" spans="1:15" x14ac:dyDescent="0.2">
      <c r="A205" s="1" t="s">
        <v>1776</v>
      </c>
    </row>
    <row r="206" spans="1:15" x14ac:dyDescent="0.2">
      <c r="A206" s="1" t="s">
        <v>1777</v>
      </c>
    </row>
    <row r="208" spans="1:15" x14ac:dyDescent="0.2">
      <c r="A208" s="1" t="s">
        <v>1979</v>
      </c>
      <c r="M208" s="1" t="s">
        <v>3561</v>
      </c>
    </row>
    <row r="212" spans="1:19" x14ac:dyDescent="0.2">
      <c r="B212" s="3" t="s">
        <v>1980</v>
      </c>
      <c r="F212" s="3" t="s">
        <v>1987</v>
      </c>
    </row>
    <row r="213" spans="1:19" x14ac:dyDescent="0.2">
      <c r="B213" s="3" t="s">
        <v>1981</v>
      </c>
      <c r="F213" s="3" t="s">
        <v>1988</v>
      </c>
    </row>
    <row r="214" spans="1:19" x14ac:dyDescent="0.2">
      <c r="M214" s="1" t="s">
        <v>3566</v>
      </c>
      <c r="Q214" s="1" t="s">
        <v>3562</v>
      </c>
      <c r="S214" s="1" t="s">
        <v>3557</v>
      </c>
    </row>
    <row r="215" spans="1:19" x14ac:dyDescent="0.2">
      <c r="M215" s="1" t="s">
        <v>3567</v>
      </c>
    </row>
    <row r="216" spans="1:19" x14ac:dyDescent="0.2">
      <c r="B216" s="1" t="s">
        <v>1982</v>
      </c>
      <c r="G216" s="1" t="s">
        <v>1989</v>
      </c>
      <c r="P216" s="1" t="s">
        <v>3563</v>
      </c>
    </row>
    <row r="217" spans="1:19" x14ac:dyDescent="0.2">
      <c r="B217" s="1" t="s">
        <v>1983</v>
      </c>
      <c r="G217" s="1" t="s">
        <v>1990</v>
      </c>
      <c r="K217" s="1" t="s">
        <v>3568</v>
      </c>
      <c r="P217" s="1" t="s">
        <v>3564</v>
      </c>
      <c r="R217" s="1" t="s">
        <v>3558</v>
      </c>
    </row>
    <row r="218" spans="1:19" x14ac:dyDescent="0.2">
      <c r="B218" s="1" t="s">
        <v>1984</v>
      </c>
      <c r="G218" s="3" t="s">
        <v>1986</v>
      </c>
      <c r="K218" s="1" t="s">
        <v>3569</v>
      </c>
      <c r="P218" s="1" t="s">
        <v>3565</v>
      </c>
      <c r="R218" s="1" t="s">
        <v>3559</v>
      </c>
    </row>
    <row r="219" spans="1:19" x14ac:dyDescent="0.2">
      <c r="B219" s="3" t="s">
        <v>1985</v>
      </c>
      <c r="R219" s="1" t="s">
        <v>3560</v>
      </c>
    </row>
    <row r="220" spans="1:19" x14ac:dyDescent="0.2">
      <c r="B220" s="3" t="s">
        <v>1986</v>
      </c>
    </row>
    <row r="222" spans="1:19" x14ac:dyDescent="0.2">
      <c r="A222" s="8" t="s">
        <v>1778</v>
      </c>
    </row>
    <row r="223" spans="1:19" x14ac:dyDescent="0.2">
      <c r="A223" s="1" t="s">
        <v>1779</v>
      </c>
    </row>
    <row r="224" spans="1:19" x14ac:dyDescent="0.2">
      <c r="A224" s="1" t="s">
        <v>1780</v>
      </c>
    </row>
    <row r="226" spans="1:7" x14ac:dyDescent="0.2">
      <c r="B226" s="1" t="s">
        <v>1781</v>
      </c>
      <c r="D226" s="11">
        <v>5000</v>
      </c>
    </row>
    <row r="227" spans="1:7" x14ac:dyDescent="0.2">
      <c r="B227" s="1" t="s">
        <v>1452</v>
      </c>
      <c r="D227" s="11">
        <v>5000</v>
      </c>
    </row>
    <row r="229" spans="1:7" x14ac:dyDescent="0.2">
      <c r="A229" s="8" t="s">
        <v>1782</v>
      </c>
    </row>
    <row r="230" spans="1:7" x14ac:dyDescent="0.2">
      <c r="A230" s="1" t="s">
        <v>1783</v>
      </c>
    </row>
    <row r="231" spans="1:7" x14ac:dyDescent="0.2">
      <c r="A231" s="1" t="s">
        <v>1784</v>
      </c>
    </row>
    <row r="232" spans="1:7" x14ac:dyDescent="0.2">
      <c r="A232" s="1" t="s">
        <v>1785</v>
      </c>
    </row>
    <row r="234" spans="1:7" x14ac:dyDescent="0.2">
      <c r="A234" s="2">
        <v>43101</v>
      </c>
      <c r="B234" s="1" t="s">
        <v>1786</v>
      </c>
      <c r="D234" s="11">
        <f>500000*1.05^-2</f>
        <v>453514.73922902491</v>
      </c>
      <c r="G234" s="1" t="s">
        <v>1787</v>
      </c>
    </row>
    <row r="235" spans="1:7" x14ac:dyDescent="0.2">
      <c r="B235" s="1" t="s">
        <v>1788</v>
      </c>
      <c r="D235" s="11">
        <f>D234</f>
        <v>453514.73922902491</v>
      </c>
    </row>
    <row r="237" spans="1:7" x14ac:dyDescent="0.2">
      <c r="A237" s="8" t="s">
        <v>1789</v>
      </c>
    </row>
    <row r="238" spans="1:7" x14ac:dyDescent="0.2">
      <c r="A238" s="1" t="s">
        <v>1790</v>
      </c>
    </row>
    <row r="239" spans="1:7" x14ac:dyDescent="0.2">
      <c r="A239" s="1" t="s">
        <v>1791</v>
      </c>
    </row>
    <row r="240" spans="1:7" x14ac:dyDescent="0.2">
      <c r="A240" s="1" t="s">
        <v>1792</v>
      </c>
    </row>
    <row r="241" spans="1:5" x14ac:dyDescent="0.2">
      <c r="A241" s="1" t="s">
        <v>1793</v>
      </c>
    </row>
    <row r="243" spans="1:5" x14ac:dyDescent="0.2">
      <c r="A243" s="8" t="s">
        <v>1794</v>
      </c>
    </row>
    <row r="244" spans="1:5" x14ac:dyDescent="0.2">
      <c r="A244" s="1" t="s">
        <v>1795</v>
      </c>
    </row>
    <row r="245" spans="1:5" x14ac:dyDescent="0.2">
      <c r="A245" s="1" t="s">
        <v>1796</v>
      </c>
    </row>
    <row r="247" spans="1:5" x14ac:dyDescent="0.2">
      <c r="C247" s="1" t="s">
        <v>168</v>
      </c>
      <c r="D247" s="11">
        <f>C53</f>
        <v>525000</v>
      </c>
      <c r="E247" s="1" t="s">
        <v>1991</v>
      </c>
    </row>
    <row r="248" spans="1:5" ht="17" thickBot="1" x14ac:dyDescent="0.25">
      <c r="C248" s="1" t="s">
        <v>120</v>
      </c>
      <c r="D248" s="11">
        <f>D234</f>
        <v>453514.73922902491</v>
      </c>
      <c r="E248" s="1" t="s">
        <v>1992</v>
      </c>
    </row>
    <row r="249" spans="1:5" ht="17" thickBot="1" x14ac:dyDescent="0.25">
      <c r="C249" s="1" t="s">
        <v>1456</v>
      </c>
      <c r="D249" s="40">
        <f>D247-D248</f>
        <v>71485.260770975088</v>
      </c>
    </row>
    <row r="251" spans="1:5" x14ac:dyDescent="0.2">
      <c r="C251" s="1" t="s">
        <v>1797</v>
      </c>
    </row>
    <row r="252" spans="1:5" x14ac:dyDescent="0.2">
      <c r="C252" s="1" t="s">
        <v>1798</v>
      </c>
    </row>
    <row r="254" spans="1:5" x14ac:dyDescent="0.2">
      <c r="C254" s="1" t="s">
        <v>1450</v>
      </c>
      <c r="E254" s="11">
        <f>D249</f>
        <v>71485.260770975088</v>
      </c>
    </row>
    <row r="255" spans="1:5" x14ac:dyDescent="0.2">
      <c r="C255" s="1" t="s">
        <v>1461</v>
      </c>
      <c r="E255" s="11">
        <f>E254</f>
        <v>71485.260770975088</v>
      </c>
    </row>
    <row r="257" spans="1:7" x14ac:dyDescent="0.2">
      <c r="A257" s="3" t="s">
        <v>1799</v>
      </c>
    </row>
    <row r="258" spans="1:7" x14ac:dyDescent="0.2">
      <c r="A258" s="1" t="s">
        <v>1800</v>
      </c>
    </row>
    <row r="259" spans="1:7" x14ac:dyDescent="0.2">
      <c r="A259" s="1" t="s">
        <v>1801</v>
      </c>
    </row>
    <row r="260" spans="1:7" x14ac:dyDescent="0.2">
      <c r="A260" s="1" t="s">
        <v>1802</v>
      </c>
    </row>
    <row r="261" spans="1:7" x14ac:dyDescent="0.2">
      <c r="A261" s="1" t="s">
        <v>1803</v>
      </c>
    </row>
    <row r="262" spans="1:7" ht="17" thickBot="1" x14ac:dyDescent="0.25"/>
    <row r="263" spans="1:7" x14ac:dyDescent="0.2">
      <c r="A263" s="46" t="s">
        <v>1804</v>
      </c>
      <c r="B263" s="32"/>
      <c r="C263" s="32"/>
      <c r="D263" s="32"/>
      <c r="E263" s="32"/>
      <c r="F263" s="32"/>
      <c r="G263" s="33"/>
    </row>
    <row r="264" spans="1:7" ht="17" thickBot="1" x14ac:dyDescent="0.25">
      <c r="A264" s="36" t="s">
        <v>1805</v>
      </c>
      <c r="B264" s="37"/>
      <c r="C264" s="37"/>
      <c r="D264" s="37"/>
      <c r="E264" s="37"/>
      <c r="F264" s="37"/>
      <c r="G264" s="38"/>
    </row>
    <row r="266" spans="1:7" x14ac:dyDescent="0.2">
      <c r="A266" s="8" t="s">
        <v>1806</v>
      </c>
    </row>
    <row r="267" spans="1:7" x14ac:dyDescent="0.2">
      <c r="A267" s="1" t="s">
        <v>1807</v>
      </c>
    </row>
    <row r="268" spans="1:7" x14ac:dyDescent="0.2">
      <c r="A268" s="1" t="s">
        <v>1808</v>
      </c>
    </row>
    <row r="270" spans="1:7" x14ac:dyDescent="0.2">
      <c r="A270" s="1" t="s">
        <v>1809</v>
      </c>
      <c r="C270" s="11">
        <f>D235</f>
        <v>453514.73922902491</v>
      </c>
      <c r="E270" s="1" t="s">
        <v>1787</v>
      </c>
    </row>
    <row r="271" spans="1:7" ht="17" thickBot="1" x14ac:dyDescent="0.25">
      <c r="A271" s="1" t="s">
        <v>1810</v>
      </c>
      <c r="C271" s="11">
        <f>500000*1.05^-1</f>
        <v>476190.47619047615</v>
      </c>
      <c r="E271" s="1" t="s">
        <v>1811</v>
      </c>
    </row>
    <row r="272" spans="1:7" ht="17" thickBot="1" x14ac:dyDescent="0.25">
      <c r="A272" s="1" t="s">
        <v>1812</v>
      </c>
      <c r="C272" s="40">
        <f>22675</f>
        <v>22675</v>
      </c>
      <c r="E272" s="1" t="s">
        <v>1813</v>
      </c>
      <c r="G272" s="1" t="s">
        <v>3198</v>
      </c>
    </row>
    <row r="274" spans="1:7" x14ac:dyDescent="0.2">
      <c r="A274" s="1" t="s">
        <v>1814</v>
      </c>
    </row>
    <row r="275" spans="1:7" x14ac:dyDescent="0.2">
      <c r="A275" s="1" t="s">
        <v>1815</v>
      </c>
    </row>
    <row r="276" spans="1:7" x14ac:dyDescent="0.2">
      <c r="A276" s="1" t="s">
        <v>1816</v>
      </c>
    </row>
    <row r="277" spans="1:7" x14ac:dyDescent="0.2">
      <c r="A277" s="1" t="s">
        <v>1817</v>
      </c>
    </row>
    <row r="279" spans="1:7" x14ac:dyDescent="0.2">
      <c r="A279" s="1" t="s">
        <v>1818</v>
      </c>
      <c r="C279" s="11">
        <f>C272</f>
        <v>22675</v>
      </c>
    </row>
    <row r="280" spans="1:7" x14ac:dyDescent="0.2">
      <c r="A280" s="1" t="s">
        <v>1788</v>
      </c>
      <c r="C280" s="11">
        <f>C279</f>
        <v>22675</v>
      </c>
    </row>
    <row r="282" spans="1:7" x14ac:dyDescent="0.2">
      <c r="A282" s="8" t="s">
        <v>1819</v>
      </c>
    </row>
    <row r="284" spans="1:7" x14ac:dyDescent="0.2">
      <c r="B284" s="108">
        <v>43101</v>
      </c>
      <c r="E284" s="128">
        <v>43465</v>
      </c>
      <c r="F284" s="62"/>
      <c r="G284" s="62"/>
    </row>
    <row r="285" spans="1:7" x14ac:dyDescent="0.2">
      <c r="A285" s="1" t="s">
        <v>1492</v>
      </c>
      <c r="B285" s="125">
        <f>C270</f>
        <v>453514.73922902491</v>
      </c>
      <c r="C285" s="59"/>
      <c r="D285" s="62" t="s">
        <v>1492</v>
      </c>
      <c r="E285" s="125">
        <f>D247</f>
        <v>525000</v>
      </c>
      <c r="F285" s="59" t="s">
        <v>1993</v>
      </c>
      <c r="G285" s="62"/>
    </row>
    <row r="286" spans="1:7" x14ac:dyDescent="0.2">
      <c r="A286" s="1" t="s">
        <v>1468</v>
      </c>
      <c r="B286" s="125">
        <f>B285</f>
        <v>453514.73922902491</v>
      </c>
      <c r="C286" s="59"/>
      <c r="D286" s="62" t="s">
        <v>1468</v>
      </c>
      <c r="E286" s="125">
        <f>B286</f>
        <v>453514.73922902491</v>
      </c>
      <c r="F286" s="59" t="s">
        <v>1994</v>
      </c>
    </row>
    <row r="287" spans="1:7" x14ac:dyDescent="0.2">
      <c r="A287" s="1" t="s">
        <v>1820</v>
      </c>
      <c r="B287" s="124">
        <f>B285-B286</f>
        <v>0</v>
      </c>
      <c r="C287" s="59"/>
      <c r="D287" s="62" t="s">
        <v>1672</v>
      </c>
      <c r="E287" s="124">
        <f>E285-E286</f>
        <v>71485.260770975088</v>
      </c>
      <c r="F287" s="59"/>
    </row>
    <row r="288" spans="1:7" x14ac:dyDescent="0.2">
      <c r="A288" s="1" t="s">
        <v>1653</v>
      </c>
      <c r="B288" s="156">
        <v>0.23</v>
      </c>
      <c r="C288" s="59"/>
      <c r="D288" s="62" t="s">
        <v>1653</v>
      </c>
      <c r="E288" s="156">
        <v>0.23</v>
      </c>
      <c r="F288" s="59" t="s">
        <v>1412</v>
      </c>
    </row>
    <row r="289" spans="1:6" x14ac:dyDescent="0.2">
      <c r="A289" s="1" t="s">
        <v>1654</v>
      </c>
      <c r="B289" s="157">
        <f>B287*B288</f>
        <v>0</v>
      </c>
      <c r="C289" s="59"/>
      <c r="D289" s="62" t="s">
        <v>1477</v>
      </c>
      <c r="E289" s="124">
        <f>E287*E288</f>
        <v>16441.609977324271</v>
      </c>
      <c r="F289" s="59"/>
    </row>
    <row r="291" spans="1:6" hidden="1" x14ac:dyDescent="0.2">
      <c r="A291" s="151" t="s">
        <v>1821</v>
      </c>
    </row>
    <row r="292" spans="1:6" hidden="1" x14ac:dyDescent="0.2">
      <c r="A292" s="1" t="s">
        <v>1822</v>
      </c>
    </row>
    <row r="293" spans="1:6" hidden="1" x14ac:dyDescent="0.2">
      <c r="A293" s="1" t="s">
        <v>1823</v>
      </c>
    </row>
    <row r="294" spans="1:6" hidden="1" x14ac:dyDescent="0.2">
      <c r="A294" s="1" t="s">
        <v>1824</v>
      </c>
    </row>
    <row r="295" spans="1:6" hidden="1" x14ac:dyDescent="0.2">
      <c r="A295" s="1" t="s">
        <v>1825</v>
      </c>
    </row>
    <row r="296" spans="1:6" hidden="1" x14ac:dyDescent="0.2">
      <c r="A296" s="1" t="s">
        <v>1826</v>
      </c>
    </row>
    <row r="298" spans="1:6" x14ac:dyDescent="0.2">
      <c r="A298" s="151" t="s">
        <v>1827</v>
      </c>
    </row>
    <row r="299" spans="1:6" x14ac:dyDescent="0.2">
      <c r="A299" s="1" t="s">
        <v>1828</v>
      </c>
    </row>
    <row r="300" spans="1:6" x14ac:dyDescent="0.2">
      <c r="A300" s="1" t="s">
        <v>1829</v>
      </c>
    </row>
    <row r="301" spans="1:6" x14ac:dyDescent="0.2">
      <c r="A301" s="1" t="s">
        <v>1830</v>
      </c>
    </row>
    <row r="303" spans="1:6" x14ac:dyDescent="0.2">
      <c r="A303" s="1" t="s">
        <v>1312</v>
      </c>
      <c r="C303" s="11">
        <f>E289</f>
        <v>16441.609977324271</v>
      </c>
    </row>
    <row r="304" spans="1:6" x14ac:dyDescent="0.2">
      <c r="A304" s="1" t="s">
        <v>1676</v>
      </c>
      <c r="C304" s="11">
        <f>C303</f>
        <v>16441.609977324271</v>
      </c>
    </row>
    <row r="306" spans="1:8" x14ac:dyDescent="0.2">
      <c r="A306" s="8" t="s">
        <v>1831</v>
      </c>
    </row>
    <row r="307" spans="1:8" x14ac:dyDescent="0.2">
      <c r="D307" s="108">
        <v>43465</v>
      </c>
    </row>
    <row r="308" spans="1:8" x14ac:dyDescent="0.2">
      <c r="A308" s="1" t="s">
        <v>1553</v>
      </c>
      <c r="D308" s="42">
        <f>D311</f>
        <v>525000</v>
      </c>
    </row>
    <row r="309" spans="1:8" x14ac:dyDescent="0.2">
      <c r="A309" s="1" t="s">
        <v>691</v>
      </c>
      <c r="D309" s="7">
        <v>0</v>
      </c>
    </row>
    <row r="310" spans="1:8" x14ac:dyDescent="0.2">
      <c r="A310" s="1" t="s">
        <v>1205</v>
      </c>
      <c r="D310" s="7">
        <v>0</v>
      </c>
    </row>
    <row r="311" spans="1:8" x14ac:dyDescent="0.2">
      <c r="A311" s="1" t="s">
        <v>120</v>
      </c>
      <c r="D311" s="110">
        <f>E285</f>
        <v>525000</v>
      </c>
    </row>
    <row r="312" spans="1:8" x14ac:dyDescent="0.2">
      <c r="D312" s="7"/>
    </row>
    <row r="313" spans="1:8" x14ac:dyDescent="0.2">
      <c r="A313" s="1" t="s">
        <v>1832</v>
      </c>
      <c r="D313" s="42">
        <f>E255-E289</f>
        <v>55043.650793650813</v>
      </c>
      <c r="H313" s="1" t="s">
        <v>1995</v>
      </c>
    </row>
    <row r="314" spans="1:8" x14ac:dyDescent="0.2">
      <c r="D314" s="7"/>
    </row>
    <row r="315" spans="1:8" x14ac:dyDescent="0.2">
      <c r="A315" s="1" t="s">
        <v>1477</v>
      </c>
      <c r="D315" s="42">
        <f>E289</f>
        <v>16441.609977324271</v>
      </c>
    </row>
    <row r="316" spans="1:8" x14ac:dyDescent="0.2">
      <c r="D316" s="7"/>
    </row>
    <row r="317" spans="1:8" x14ac:dyDescent="0.2">
      <c r="A317" s="1" t="s">
        <v>1662</v>
      </c>
      <c r="D317" s="7">
        <v>0</v>
      </c>
    </row>
    <row r="318" spans="1:8" x14ac:dyDescent="0.2">
      <c r="A318" s="1" t="s">
        <v>1833</v>
      </c>
      <c r="D318" s="7">
        <v>0</v>
      </c>
    </row>
    <row r="319" spans="1:8" x14ac:dyDescent="0.2">
      <c r="D319" s="7"/>
    </row>
    <row r="320" spans="1:8" x14ac:dyDescent="0.2">
      <c r="A320" s="1" t="s">
        <v>1834</v>
      </c>
      <c r="D320" s="109">
        <f>-C303</f>
        <v>-16441.609977324271</v>
      </c>
    </row>
    <row r="322" spans="1:8" x14ac:dyDescent="0.2">
      <c r="A322" s="4" t="s">
        <v>1835</v>
      </c>
      <c r="B322" s="4"/>
      <c r="C322" s="4"/>
      <c r="D322" s="4"/>
      <c r="E322" s="4"/>
      <c r="F322" s="4"/>
      <c r="G322" s="4"/>
      <c r="H322" s="4"/>
    </row>
    <row r="323" spans="1:8" x14ac:dyDescent="0.2">
      <c r="A323" s="1" t="s">
        <v>1836</v>
      </c>
    </row>
    <row r="324" spans="1:8" x14ac:dyDescent="0.2">
      <c r="A324" s="1" t="s">
        <v>1837</v>
      </c>
    </row>
    <row r="325" spans="1:8" x14ac:dyDescent="0.2">
      <c r="A325" s="1" t="s">
        <v>1838</v>
      </c>
    </row>
    <row r="327" spans="1:8" x14ac:dyDescent="0.2">
      <c r="B327" s="1" t="s">
        <v>168</v>
      </c>
      <c r="C327" s="11">
        <v>600000</v>
      </c>
      <c r="D327" s="1" t="s">
        <v>1996</v>
      </c>
    </row>
    <row r="328" spans="1:8" ht="17" thickBot="1" x14ac:dyDescent="0.25">
      <c r="B328" s="1" t="s">
        <v>120</v>
      </c>
      <c r="C328" s="11">
        <v>525000</v>
      </c>
      <c r="D328" s="1" t="s">
        <v>1997</v>
      </c>
    </row>
    <row r="329" spans="1:8" ht="17" thickBot="1" x14ac:dyDescent="0.25">
      <c r="B329" s="1" t="s">
        <v>1456</v>
      </c>
      <c r="C329" s="40">
        <f>C327-C328</f>
        <v>75000</v>
      </c>
    </row>
    <row r="331" spans="1:8" x14ac:dyDescent="0.2">
      <c r="A331" s="1" t="s">
        <v>1839</v>
      </c>
    </row>
    <row r="332" spans="1:8" x14ac:dyDescent="0.2">
      <c r="A332" s="1" t="s">
        <v>1840</v>
      </c>
    </row>
    <row r="334" spans="1:8" x14ac:dyDescent="0.2">
      <c r="A334" s="8" t="s">
        <v>1841</v>
      </c>
    </row>
    <row r="336" spans="1:8" x14ac:dyDescent="0.2">
      <c r="B336" s="1" t="s">
        <v>1450</v>
      </c>
      <c r="D336" s="11">
        <f>C329</f>
        <v>75000</v>
      </c>
    </row>
    <row r="337" spans="1:7" x14ac:dyDescent="0.2">
      <c r="B337" s="1" t="s">
        <v>1842</v>
      </c>
      <c r="D337" s="11">
        <f>D336</f>
        <v>75000</v>
      </c>
    </row>
    <row r="339" spans="1:7" x14ac:dyDescent="0.2">
      <c r="A339" s="1" t="s">
        <v>1998</v>
      </c>
    </row>
    <row r="340" spans="1:7" x14ac:dyDescent="0.2">
      <c r="A340" s="1" t="s">
        <v>1999</v>
      </c>
    </row>
    <row r="341" spans="1:7" x14ac:dyDescent="0.2">
      <c r="A341" s="1" t="s">
        <v>2000</v>
      </c>
    </row>
    <row r="342" spans="1:7" x14ac:dyDescent="0.2">
      <c r="A342" s="1" t="s">
        <v>2001</v>
      </c>
    </row>
    <row r="344" spans="1:7" x14ac:dyDescent="0.2">
      <c r="A344" s="8" t="s">
        <v>1843</v>
      </c>
    </row>
    <row r="345" spans="1:7" x14ac:dyDescent="0.2">
      <c r="B345" s="1" t="s">
        <v>1844</v>
      </c>
      <c r="D345" s="11">
        <v>476190</v>
      </c>
      <c r="E345" s="1" t="s">
        <v>1845</v>
      </c>
    </row>
    <row r="346" spans="1:7" x14ac:dyDescent="0.2">
      <c r="B346" s="1" t="s">
        <v>1846</v>
      </c>
      <c r="D346" s="11">
        <f>D347-D345</f>
        <v>23810</v>
      </c>
      <c r="E346" s="1" t="s">
        <v>1847</v>
      </c>
      <c r="G346" s="1" t="s">
        <v>3199</v>
      </c>
    </row>
    <row r="347" spans="1:7" x14ac:dyDescent="0.2">
      <c r="B347" s="1" t="s">
        <v>1452</v>
      </c>
      <c r="D347" s="11">
        <v>500000</v>
      </c>
      <c r="E347" s="1" t="s">
        <v>1848</v>
      </c>
    </row>
    <row r="349" spans="1:7" x14ac:dyDescent="0.2">
      <c r="A349" s="8" t="s">
        <v>1849</v>
      </c>
    </row>
    <row r="351" spans="1:7" x14ac:dyDescent="0.2">
      <c r="B351" s="108">
        <v>43101</v>
      </c>
      <c r="D351" s="108">
        <v>43465</v>
      </c>
      <c r="F351" s="108">
        <v>43830</v>
      </c>
    </row>
    <row r="352" spans="1:7" s="62" customFormat="1" x14ac:dyDescent="0.2">
      <c r="A352" s="62" t="s">
        <v>1492</v>
      </c>
      <c r="B352" s="125">
        <v>453514.73922902491</v>
      </c>
      <c r="D352" s="125">
        <v>525000</v>
      </c>
      <c r="F352" s="125">
        <v>600000</v>
      </c>
    </row>
    <row r="353" spans="1:7" s="62" customFormat="1" x14ac:dyDescent="0.2">
      <c r="A353" s="62" t="s">
        <v>1468</v>
      </c>
      <c r="B353" s="125">
        <v>453514.73922902491</v>
      </c>
      <c r="D353" s="125">
        <v>453514.73922902491</v>
      </c>
      <c r="F353" s="125">
        <f>D353</f>
        <v>453514.73922902491</v>
      </c>
    </row>
    <row r="354" spans="1:7" s="62" customFormat="1" x14ac:dyDescent="0.2">
      <c r="A354" s="62" t="s">
        <v>1672</v>
      </c>
      <c r="B354" s="124">
        <v>0</v>
      </c>
      <c r="C354" s="62" t="s">
        <v>1672</v>
      </c>
      <c r="D354" s="124">
        <v>71485.260770975088</v>
      </c>
      <c r="E354" s="62" t="s">
        <v>1672</v>
      </c>
      <c r="F354" s="124">
        <f>F352-F353</f>
        <v>146485.26077097509</v>
      </c>
    </row>
    <row r="355" spans="1:7" s="62" customFormat="1" ht="16" customHeight="1" x14ac:dyDescent="0.2">
      <c r="A355" s="62" t="s">
        <v>1653</v>
      </c>
      <c r="B355" s="156">
        <v>0.23</v>
      </c>
      <c r="D355" s="156">
        <v>0.23</v>
      </c>
      <c r="F355" s="156">
        <v>0.23</v>
      </c>
    </row>
    <row r="356" spans="1:7" s="62" customFormat="1" x14ac:dyDescent="0.2">
      <c r="A356" s="62" t="s">
        <v>1654</v>
      </c>
      <c r="B356" s="157">
        <v>0</v>
      </c>
      <c r="D356" s="124">
        <v>16441.609977324271</v>
      </c>
      <c r="E356" s="62" t="s">
        <v>1477</v>
      </c>
      <c r="F356" s="124">
        <f>F354*F355</f>
        <v>33691.609977324275</v>
      </c>
    </row>
    <row r="357" spans="1:7" s="62" customFormat="1" x14ac:dyDescent="0.2"/>
    <row r="358" spans="1:7" s="62" customFormat="1" x14ac:dyDescent="0.2">
      <c r="D358" s="62" t="s">
        <v>1850</v>
      </c>
    </row>
    <row r="359" spans="1:7" s="62" customFormat="1" x14ac:dyDescent="0.2">
      <c r="E359" s="125">
        <f>F356-D356</f>
        <v>17250.000000000004</v>
      </c>
    </row>
    <row r="360" spans="1:7" s="62" customFormat="1" x14ac:dyDescent="0.2">
      <c r="A360" s="59"/>
      <c r="B360" s="59"/>
      <c r="C360" s="59"/>
      <c r="D360" s="59"/>
      <c r="E360" s="59"/>
      <c r="F360" s="59"/>
      <c r="G360" s="59"/>
    </row>
    <row r="361" spans="1:7" x14ac:dyDescent="0.2">
      <c r="A361" s="1" t="s">
        <v>1851</v>
      </c>
    </row>
    <row r="362" spans="1:7" x14ac:dyDescent="0.2">
      <c r="A362" s="1" t="s">
        <v>1852</v>
      </c>
    </row>
    <row r="364" spans="1:7" x14ac:dyDescent="0.2">
      <c r="C364" s="1" t="s">
        <v>1312</v>
      </c>
      <c r="E364" s="11">
        <f>E359</f>
        <v>17250.000000000004</v>
      </c>
    </row>
    <row r="365" spans="1:7" x14ac:dyDescent="0.2">
      <c r="C365" s="1" t="s">
        <v>1853</v>
      </c>
      <c r="E365" s="11">
        <f>E364</f>
        <v>17250.000000000004</v>
      </c>
    </row>
    <row r="367" spans="1:7" x14ac:dyDescent="0.2">
      <c r="A367" s="8" t="s">
        <v>1854</v>
      </c>
    </row>
    <row r="368" spans="1:7" x14ac:dyDescent="0.2">
      <c r="D368" s="108">
        <v>43465</v>
      </c>
      <c r="E368" s="108">
        <v>43830</v>
      </c>
    </row>
    <row r="369" spans="1:8" x14ac:dyDescent="0.2">
      <c r="A369" s="1" t="s">
        <v>1553</v>
      </c>
      <c r="D369" s="42">
        <v>525000</v>
      </c>
      <c r="E369" s="42">
        <f>600000</f>
        <v>600000</v>
      </c>
    </row>
    <row r="370" spans="1:8" x14ac:dyDescent="0.2">
      <c r="A370" s="1" t="s">
        <v>691</v>
      </c>
      <c r="D370" s="7">
        <v>0</v>
      </c>
      <c r="E370" s="7">
        <v>0</v>
      </c>
    </row>
    <row r="371" spans="1:8" x14ac:dyDescent="0.2">
      <c r="A371" s="1" t="s">
        <v>1205</v>
      </c>
      <c r="D371" s="7">
        <v>0</v>
      </c>
      <c r="E371" s="7">
        <v>0</v>
      </c>
    </row>
    <row r="372" spans="1:8" x14ac:dyDescent="0.2">
      <c r="A372" s="1" t="s">
        <v>120</v>
      </c>
      <c r="D372" s="110">
        <v>525000</v>
      </c>
      <c r="E372" s="110">
        <f>E369</f>
        <v>600000</v>
      </c>
    </row>
    <row r="373" spans="1:8" x14ac:dyDescent="0.2">
      <c r="D373" s="7"/>
      <c r="E373" s="7"/>
    </row>
    <row r="374" spans="1:8" x14ac:dyDescent="0.2">
      <c r="A374" s="1" t="s">
        <v>1832</v>
      </c>
      <c r="D374" s="42">
        <v>55043.650793650813</v>
      </c>
      <c r="E374" s="42">
        <f>F354*(1-F355)</f>
        <v>112793.65079365081</v>
      </c>
    </row>
    <row r="375" spans="1:8" x14ac:dyDescent="0.2">
      <c r="D375" s="7"/>
      <c r="E375" s="7"/>
    </row>
    <row r="376" spans="1:8" x14ac:dyDescent="0.2">
      <c r="A376" s="1" t="s">
        <v>1477</v>
      </c>
      <c r="D376" s="42">
        <v>16441.609977324271</v>
      </c>
      <c r="E376" s="42">
        <f>F356</f>
        <v>33691.609977324275</v>
      </c>
    </row>
    <row r="377" spans="1:8" x14ac:dyDescent="0.2">
      <c r="D377" s="7"/>
      <c r="E377" s="7"/>
    </row>
    <row r="378" spans="1:8" x14ac:dyDescent="0.2">
      <c r="A378" s="1" t="s">
        <v>1662</v>
      </c>
      <c r="D378" s="7">
        <v>0</v>
      </c>
      <c r="E378" s="7">
        <v>0</v>
      </c>
    </row>
    <row r="379" spans="1:8" x14ac:dyDescent="0.2">
      <c r="A379" s="1" t="s">
        <v>1833</v>
      </c>
      <c r="D379" s="7">
        <v>0</v>
      </c>
      <c r="E379" s="7">
        <v>0</v>
      </c>
    </row>
    <row r="380" spans="1:8" x14ac:dyDescent="0.2">
      <c r="D380" s="7"/>
      <c r="E380" s="7"/>
    </row>
    <row r="381" spans="1:8" x14ac:dyDescent="0.2">
      <c r="A381" s="1" t="s">
        <v>1834</v>
      </c>
      <c r="D381" s="109">
        <v>-16441.609977324271</v>
      </c>
      <c r="E381" s="109">
        <f>-E364</f>
        <v>-17250.000000000004</v>
      </c>
    </row>
    <row r="383" spans="1:8" x14ac:dyDescent="0.2">
      <c r="A383" s="4" t="s">
        <v>1855</v>
      </c>
      <c r="B383" s="4"/>
      <c r="C383" s="4"/>
      <c r="D383" s="4"/>
      <c r="E383" s="4"/>
      <c r="F383" s="154"/>
      <c r="G383" s="4"/>
      <c r="H383" s="4"/>
    </row>
    <row r="384" spans="1:8" x14ac:dyDescent="0.2">
      <c r="A384" s="1" t="s">
        <v>2413</v>
      </c>
    </row>
    <row r="385" spans="1:10" x14ac:dyDescent="0.2">
      <c r="A385" s="1" t="s">
        <v>1856</v>
      </c>
    </row>
    <row r="387" spans="1:10" x14ac:dyDescent="0.2">
      <c r="A387" s="21" t="s">
        <v>2420</v>
      </c>
    </row>
    <row r="388" spans="1:10" x14ac:dyDescent="0.2">
      <c r="A388" s="21" t="s">
        <v>2412</v>
      </c>
    </row>
    <row r="390" spans="1:10" x14ac:dyDescent="0.2">
      <c r="A390" s="1" t="s">
        <v>2414</v>
      </c>
    </row>
    <row r="391" spans="1:10" x14ac:dyDescent="0.2">
      <c r="A391" s="1" t="s">
        <v>2415</v>
      </c>
    </row>
    <row r="393" spans="1:10" x14ac:dyDescent="0.2">
      <c r="A393" s="1" t="s">
        <v>2419</v>
      </c>
      <c r="G393" s="68" t="s">
        <v>2417</v>
      </c>
    </row>
    <row r="394" spans="1:10" x14ac:dyDescent="0.2">
      <c r="A394" s="1" t="s">
        <v>2416</v>
      </c>
      <c r="G394" s="68" t="s">
        <v>2418</v>
      </c>
    </row>
    <row r="396" spans="1:10" x14ac:dyDescent="0.2">
      <c r="A396" s="1" t="s">
        <v>1857</v>
      </c>
    </row>
    <row r="397" spans="1:10" x14ac:dyDescent="0.2">
      <c r="A397" s="1" t="s">
        <v>1858</v>
      </c>
    </row>
    <row r="398" spans="1:10" x14ac:dyDescent="0.2">
      <c r="A398" s="1" t="s">
        <v>1859</v>
      </c>
    </row>
    <row r="399" spans="1:10" x14ac:dyDescent="0.2">
      <c r="J399" s="3" t="s">
        <v>2421</v>
      </c>
    </row>
    <row r="400" spans="1:10" x14ac:dyDescent="0.2">
      <c r="A400" s="8" t="s">
        <v>1860</v>
      </c>
      <c r="B400" s="8"/>
      <c r="C400" s="8"/>
      <c r="D400" s="8"/>
      <c r="E400" s="8"/>
      <c r="F400" s="8"/>
      <c r="G400" s="8"/>
      <c r="H400" s="8"/>
      <c r="J400" s="3" t="s">
        <v>2422</v>
      </c>
    </row>
    <row r="401" spans="1:10" x14ac:dyDescent="0.2">
      <c r="A401" s="8" t="s">
        <v>1861</v>
      </c>
      <c r="B401" s="8"/>
      <c r="C401" s="8"/>
      <c r="D401" s="8"/>
      <c r="E401" s="8"/>
      <c r="F401" s="8"/>
      <c r="G401" s="8"/>
      <c r="H401" s="8"/>
      <c r="J401" s="3" t="s">
        <v>2423</v>
      </c>
    </row>
    <row r="402" spans="1:10" x14ac:dyDescent="0.2">
      <c r="J402" s="3" t="s">
        <v>2424</v>
      </c>
    </row>
    <row r="403" spans="1:10" x14ac:dyDescent="0.2">
      <c r="J403" s="3" t="s">
        <v>2425</v>
      </c>
    </row>
    <row r="423" spans="1:6" x14ac:dyDescent="0.2">
      <c r="A423" s="8" t="s">
        <v>1862</v>
      </c>
    </row>
    <row r="425" spans="1:6" x14ac:dyDescent="0.2">
      <c r="A425" s="1" t="s">
        <v>1514</v>
      </c>
      <c r="C425" s="11">
        <f>600000/8</f>
        <v>75000</v>
      </c>
      <c r="F425" s="1" t="s">
        <v>1863</v>
      </c>
    </row>
    <row r="426" spans="1:6" x14ac:dyDescent="0.2">
      <c r="A426" s="1" t="s">
        <v>1516</v>
      </c>
      <c r="C426" s="11">
        <f>C425</f>
        <v>75000</v>
      </c>
    </row>
    <row r="428" spans="1:6" x14ac:dyDescent="0.2">
      <c r="A428" s="1" t="s">
        <v>1864</v>
      </c>
    </row>
    <row r="429" spans="1:6" x14ac:dyDescent="0.2">
      <c r="A429" s="1" t="s">
        <v>1865</v>
      </c>
    </row>
    <row r="431" spans="1:6" x14ac:dyDescent="0.2">
      <c r="A431" s="8" t="s">
        <v>1866</v>
      </c>
    </row>
    <row r="433" spans="1:6" x14ac:dyDescent="0.2">
      <c r="A433" s="1" t="s">
        <v>1867</v>
      </c>
      <c r="C433" s="11">
        <f>112794/8</f>
        <v>14099.25</v>
      </c>
      <c r="F433" s="1" t="s">
        <v>1868</v>
      </c>
    </row>
    <row r="434" spans="1:6" x14ac:dyDescent="0.2">
      <c r="A434" s="1" t="s">
        <v>1530</v>
      </c>
      <c r="C434" s="11">
        <f>C433</f>
        <v>14099.25</v>
      </c>
    </row>
    <row r="436" spans="1:6" x14ac:dyDescent="0.2">
      <c r="A436" s="8" t="s">
        <v>1869</v>
      </c>
    </row>
    <row r="437" spans="1:6" x14ac:dyDescent="0.2">
      <c r="A437" s="1" t="s">
        <v>1870</v>
      </c>
    </row>
    <row r="438" spans="1:6" x14ac:dyDescent="0.2">
      <c r="A438" s="1" t="s">
        <v>2426</v>
      </c>
    </row>
    <row r="440" spans="1:6" x14ac:dyDescent="0.2">
      <c r="A440" s="1" t="s">
        <v>1539</v>
      </c>
      <c r="C440" s="11">
        <f>C425</f>
        <v>75000</v>
      </c>
      <c r="E440" s="1" t="s">
        <v>2429</v>
      </c>
    </row>
    <row r="441" spans="1:6" x14ac:dyDescent="0.2">
      <c r="A441" s="1" t="s">
        <v>1871</v>
      </c>
      <c r="C441" s="11">
        <f>C440</f>
        <v>75000</v>
      </c>
      <c r="E441" s="1" t="s">
        <v>2430</v>
      </c>
    </row>
    <row r="443" spans="1:6" x14ac:dyDescent="0.2">
      <c r="A443" s="8" t="s">
        <v>2427</v>
      </c>
    </row>
    <row r="444" spans="1:6" x14ac:dyDescent="0.2">
      <c r="A444" s="2">
        <v>44196</v>
      </c>
      <c r="B444" s="1" t="s">
        <v>168</v>
      </c>
      <c r="C444" s="11">
        <v>475000</v>
      </c>
      <c r="D444" s="1" t="s">
        <v>1872</v>
      </c>
    </row>
    <row r="445" spans="1:6" ht="17" thickBot="1" x14ac:dyDescent="0.25">
      <c r="B445" s="1" t="s">
        <v>120</v>
      </c>
      <c r="C445" s="11">
        <f>600000-75000</f>
        <v>525000</v>
      </c>
      <c r="F445" s="1" t="s">
        <v>1873</v>
      </c>
    </row>
    <row r="446" spans="1:6" ht="17" thickBot="1" x14ac:dyDescent="0.25">
      <c r="B446" s="1" t="s">
        <v>1302</v>
      </c>
      <c r="C446" s="119">
        <f>C444-C445</f>
        <v>-50000</v>
      </c>
    </row>
    <row r="448" spans="1:6" x14ac:dyDescent="0.2">
      <c r="A448" s="1" t="s">
        <v>2428</v>
      </c>
    </row>
    <row r="450" spans="1:4" x14ac:dyDescent="0.2">
      <c r="A450" s="1" t="s">
        <v>1874</v>
      </c>
    </row>
    <row r="451" spans="1:4" x14ac:dyDescent="0.2">
      <c r="A451" s="1" t="s">
        <v>1875</v>
      </c>
    </row>
    <row r="453" spans="1:4" x14ac:dyDescent="0.2">
      <c r="A453" s="1" t="s">
        <v>1312</v>
      </c>
      <c r="C453" s="17">
        <f>-C446</f>
        <v>50000</v>
      </c>
    </row>
    <row r="454" spans="1:4" x14ac:dyDescent="0.2">
      <c r="A454" s="1" t="s">
        <v>1669</v>
      </c>
      <c r="C454" s="17">
        <f>C453</f>
        <v>50000</v>
      </c>
    </row>
    <row r="456" spans="1:4" x14ac:dyDescent="0.2">
      <c r="A456" s="1" t="s">
        <v>1876</v>
      </c>
    </row>
    <row r="457" spans="1:4" x14ac:dyDescent="0.2">
      <c r="A457" s="1" t="s">
        <v>1877</v>
      </c>
    </row>
    <row r="459" spans="1:4" x14ac:dyDescent="0.2">
      <c r="A459" s="8" t="s">
        <v>2431</v>
      </c>
    </row>
    <row r="461" spans="1:4" x14ac:dyDescent="0.2">
      <c r="A461" s="1" t="s">
        <v>1878</v>
      </c>
      <c r="C461" s="11">
        <v>475000</v>
      </c>
      <c r="D461" s="1" t="s">
        <v>2433</v>
      </c>
    </row>
    <row r="462" spans="1:4" ht="17" thickBot="1" x14ac:dyDescent="0.25">
      <c r="A462" s="1" t="s">
        <v>2432</v>
      </c>
      <c r="C462" s="11">
        <v>300000</v>
      </c>
    </row>
    <row r="463" spans="1:4" ht="17" thickBot="1" x14ac:dyDescent="0.25">
      <c r="A463" s="1" t="s">
        <v>1302</v>
      </c>
      <c r="C463" s="40">
        <f>C461-C462</f>
        <v>175000</v>
      </c>
    </row>
    <row r="465" spans="1:10" x14ac:dyDescent="0.2">
      <c r="A465" s="3" t="s">
        <v>2434</v>
      </c>
    </row>
    <row r="467" spans="1:10" x14ac:dyDescent="0.2">
      <c r="A467" s="1" t="s">
        <v>1879</v>
      </c>
    </row>
    <row r="468" spans="1:10" x14ac:dyDescent="0.2">
      <c r="A468" s="1" t="s">
        <v>1880</v>
      </c>
    </row>
    <row r="469" spans="1:10" x14ac:dyDescent="0.2">
      <c r="E469" s="1" t="s">
        <v>3201</v>
      </c>
    </row>
    <row r="470" spans="1:10" x14ac:dyDescent="0.2">
      <c r="F470" s="1" t="s">
        <v>3200</v>
      </c>
    </row>
    <row r="472" spans="1:10" x14ac:dyDescent="0.2">
      <c r="A472" s="1" t="s">
        <v>3202</v>
      </c>
      <c r="C472" s="174">
        <v>146485</v>
      </c>
      <c r="F472" s="1" t="s">
        <v>2438</v>
      </c>
    </row>
    <row r="473" spans="1:10" x14ac:dyDescent="0.2">
      <c r="A473" s="1" t="s">
        <v>1881</v>
      </c>
      <c r="C473" s="17">
        <f>-14099/0.77</f>
        <v>-18310.389610389611</v>
      </c>
      <c r="F473" s="1" t="s">
        <v>1882</v>
      </c>
      <c r="G473" s="1" t="s">
        <v>3204</v>
      </c>
      <c r="J473" s="1" t="s">
        <v>3203</v>
      </c>
    </row>
    <row r="474" spans="1:10" ht="17" thickBot="1" x14ac:dyDescent="0.25">
      <c r="A474" s="1" t="s">
        <v>1883</v>
      </c>
      <c r="C474" s="17">
        <f>-50000</f>
        <v>-50000</v>
      </c>
      <c r="D474" s="1" t="s">
        <v>2445</v>
      </c>
      <c r="F474" s="1" t="s">
        <v>3205</v>
      </c>
    </row>
    <row r="475" spans="1:10" ht="17" thickBot="1" x14ac:dyDescent="0.25">
      <c r="A475" s="1" t="s">
        <v>2446</v>
      </c>
      <c r="C475" s="16">
        <f>SUM(C472:C474)</f>
        <v>78174.610389610389</v>
      </c>
      <c r="D475" s="1" t="s">
        <v>2447</v>
      </c>
    </row>
    <row r="478" spans="1:10" x14ac:dyDescent="0.2">
      <c r="A478" s="1" t="s">
        <v>2448</v>
      </c>
    </row>
    <row r="479" spans="1:10" x14ac:dyDescent="0.2">
      <c r="A479" s="1" t="s">
        <v>2449</v>
      </c>
    </row>
    <row r="481" spans="1:8" x14ac:dyDescent="0.2">
      <c r="B481" s="1" t="s">
        <v>2450</v>
      </c>
      <c r="D481" s="1" t="s">
        <v>2452</v>
      </c>
    </row>
    <row r="482" spans="1:8" ht="17" thickBot="1" x14ac:dyDescent="0.25">
      <c r="B482" s="1" t="s">
        <v>2451</v>
      </c>
      <c r="D482" s="1" t="s">
        <v>2453</v>
      </c>
    </row>
    <row r="483" spans="1:8" ht="17" thickBot="1" x14ac:dyDescent="0.25">
      <c r="B483" s="16">
        <f>C475</f>
        <v>78174.610389610389</v>
      </c>
      <c r="D483" s="176">
        <f>175000-B483</f>
        <v>96825.389610389611</v>
      </c>
      <c r="F483" s="1" t="s">
        <v>2454</v>
      </c>
    </row>
    <row r="487" spans="1:8" hidden="1" x14ac:dyDescent="0.2">
      <c r="A487" s="1" t="s">
        <v>2435</v>
      </c>
    </row>
    <row r="488" spans="1:8" hidden="1" x14ac:dyDescent="0.2">
      <c r="A488" s="1" t="s">
        <v>2436</v>
      </c>
      <c r="C488" s="11">
        <f>112794</f>
        <v>112794</v>
      </c>
      <c r="D488" s="1" t="s">
        <v>413</v>
      </c>
    </row>
    <row r="489" spans="1:8" hidden="1" x14ac:dyDescent="0.2">
      <c r="A489" s="1" t="s">
        <v>2437</v>
      </c>
      <c r="C489" s="175">
        <f>C488/0.77</f>
        <v>146485.71428571429</v>
      </c>
      <c r="E489" s="1" t="s">
        <v>2438</v>
      </c>
      <c r="H489" s="1" t="s">
        <v>2439</v>
      </c>
    </row>
    <row r="490" spans="1:8" hidden="1" x14ac:dyDescent="0.2">
      <c r="H490" s="1" t="s">
        <v>2440</v>
      </c>
    </row>
    <row r="491" spans="1:8" hidden="1" x14ac:dyDescent="0.2">
      <c r="A491" s="1" t="s">
        <v>2441</v>
      </c>
    </row>
    <row r="492" spans="1:8" hidden="1" x14ac:dyDescent="0.2">
      <c r="A492" s="1" t="s">
        <v>2442</v>
      </c>
    </row>
    <row r="493" spans="1:8" hidden="1" x14ac:dyDescent="0.2">
      <c r="A493" s="1" t="s">
        <v>2443</v>
      </c>
    </row>
    <row r="494" spans="1:8" hidden="1" x14ac:dyDescent="0.2">
      <c r="A494" s="1" t="s">
        <v>2444</v>
      </c>
    </row>
    <row r="495" spans="1:8" hidden="1" x14ac:dyDescent="0.2"/>
    <row r="496" spans="1:8" hidden="1" x14ac:dyDescent="0.2">
      <c r="A496" s="1" t="s">
        <v>2455</v>
      </c>
    </row>
    <row r="497" spans="1:8" hidden="1" x14ac:dyDescent="0.2">
      <c r="A497" s="1" t="s">
        <v>2456</v>
      </c>
      <c r="E497" s="11">
        <f>C489/8</f>
        <v>18310.714285714286</v>
      </c>
      <c r="F497" s="1" t="s">
        <v>2457</v>
      </c>
    </row>
    <row r="498" spans="1:8" hidden="1" x14ac:dyDescent="0.2"/>
    <row r="499" spans="1:8" hidden="1" x14ac:dyDescent="0.2"/>
    <row r="500" spans="1:8" hidden="1" x14ac:dyDescent="0.2">
      <c r="A500" s="3" t="s">
        <v>2458</v>
      </c>
      <c r="E500" s="3" t="s">
        <v>2459</v>
      </c>
    </row>
    <row r="501" spans="1:8" hidden="1" x14ac:dyDescent="0.2">
      <c r="A501" s="68" t="s">
        <v>1312</v>
      </c>
      <c r="B501" s="68"/>
      <c r="C501" s="139">
        <f>C475</f>
        <v>78174.610389610389</v>
      </c>
      <c r="E501" s="68" t="s">
        <v>1313</v>
      </c>
      <c r="F501" s="68"/>
      <c r="G501" s="139">
        <f>C463-C501</f>
        <v>96825.389610389611</v>
      </c>
    </row>
    <row r="502" spans="1:8" hidden="1" x14ac:dyDescent="0.2">
      <c r="A502" s="68" t="s">
        <v>1713</v>
      </c>
      <c r="B502" s="68"/>
      <c r="C502" s="139">
        <f>C501</f>
        <v>78174.610389610389</v>
      </c>
      <c r="E502" s="68" t="s">
        <v>1315</v>
      </c>
      <c r="F502" s="68"/>
      <c r="G502" s="139">
        <f>G501</f>
        <v>96825.389610389611</v>
      </c>
    </row>
    <row r="504" spans="1:8" x14ac:dyDescent="0.2">
      <c r="A504" s="8" t="s">
        <v>1583</v>
      </c>
    </row>
    <row r="506" spans="1:8" x14ac:dyDescent="0.2">
      <c r="C506" s="140">
        <v>43830</v>
      </c>
      <c r="E506" s="14">
        <v>44196</v>
      </c>
    </row>
    <row r="507" spans="1:8" s="62" customFormat="1" x14ac:dyDescent="0.2">
      <c r="A507" s="62" t="s">
        <v>1492</v>
      </c>
      <c r="C507" s="63">
        <v>600000</v>
      </c>
      <c r="E507" s="63">
        <v>300000</v>
      </c>
    </row>
    <row r="508" spans="1:8" s="62" customFormat="1" x14ac:dyDescent="0.2">
      <c r="A508" s="62" t="s">
        <v>1884</v>
      </c>
      <c r="C508" s="63">
        <v>453515</v>
      </c>
      <c r="E508" s="63">
        <f>C508*7/8</f>
        <v>396825.625</v>
      </c>
      <c r="G508" s="62" t="s">
        <v>1885</v>
      </c>
    </row>
    <row r="509" spans="1:8" x14ac:dyDescent="0.2">
      <c r="A509" s="62" t="s">
        <v>1672</v>
      </c>
      <c r="B509" s="62"/>
      <c r="C509" s="177">
        <f>C507-C508</f>
        <v>146485</v>
      </c>
      <c r="D509" s="62" t="s">
        <v>1886</v>
      </c>
      <c r="E509" s="177">
        <f>E507-E508</f>
        <v>-96825.625</v>
      </c>
      <c r="F509" s="62"/>
      <c r="G509" s="62"/>
      <c r="H509" s="59"/>
    </row>
    <row r="510" spans="1:8" s="62" customFormat="1" x14ac:dyDescent="0.2">
      <c r="A510" s="62" t="s">
        <v>1653</v>
      </c>
      <c r="C510" s="148">
        <v>0.23</v>
      </c>
      <c r="E510" s="148">
        <v>0.23</v>
      </c>
    </row>
    <row r="511" spans="1:8" s="62" customFormat="1" x14ac:dyDescent="0.2">
      <c r="A511" s="62" t="s">
        <v>1477</v>
      </c>
      <c r="C511" s="177">
        <f>C509*C510</f>
        <v>33691.550000000003</v>
      </c>
      <c r="D511" s="62" t="s">
        <v>1887</v>
      </c>
      <c r="E511" s="177">
        <f>E509*E510</f>
        <v>-22269.893749999999</v>
      </c>
    </row>
    <row r="512" spans="1:8" s="62" customFormat="1" x14ac:dyDescent="0.2"/>
    <row r="513" spans="1:9" s="62" customFormat="1" x14ac:dyDescent="0.2">
      <c r="A513" s="62" t="s">
        <v>1888</v>
      </c>
      <c r="F513" s="63">
        <f>C511</f>
        <v>33691.550000000003</v>
      </c>
    </row>
    <row r="514" spans="1:9" s="62" customFormat="1" x14ac:dyDescent="0.2">
      <c r="A514" s="62" t="s">
        <v>2460</v>
      </c>
      <c r="F514" s="178">
        <f>-F513/8</f>
        <v>-4211.4437500000004</v>
      </c>
      <c r="H514" s="62" t="s">
        <v>1889</v>
      </c>
    </row>
    <row r="515" spans="1:9" ht="17" thickBot="1" x14ac:dyDescent="0.25">
      <c r="A515" s="62" t="s">
        <v>2461</v>
      </c>
      <c r="B515" s="62"/>
      <c r="C515" s="62"/>
      <c r="D515" s="62"/>
      <c r="E515" s="62"/>
      <c r="F515" s="178">
        <f>-F513-F514</f>
        <v>-29480.106250000004</v>
      </c>
      <c r="G515" s="62"/>
      <c r="H515" s="62" t="s">
        <v>3206</v>
      </c>
    </row>
    <row r="516" spans="1:9" s="62" customFormat="1" ht="17" thickBot="1" x14ac:dyDescent="0.25">
      <c r="A516" s="62" t="s">
        <v>1890</v>
      </c>
      <c r="F516" s="179">
        <v>0</v>
      </c>
    </row>
    <row r="517" spans="1:9" s="62" customFormat="1" ht="17" thickBot="1" x14ac:dyDescent="0.25">
      <c r="A517" s="62" t="s">
        <v>2462</v>
      </c>
      <c r="F517" s="178">
        <f>F518</f>
        <v>-22269.893749999999</v>
      </c>
      <c r="H517" s="62" t="s">
        <v>3207</v>
      </c>
    </row>
    <row r="518" spans="1:9" s="62" customFormat="1" ht="17" thickBot="1" x14ac:dyDescent="0.25">
      <c r="A518" s="62" t="s">
        <v>1891</v>
      </c>
      <c r="F518" s="180">
        <f>E511</f>
        <v>-22269.893749999999</v>
      </c>
    </row>
    <row r="519" spans="1:9" ht="17" thickBot="1" x14ac:dyDescent="0.25"/>
    <row r="520" spans="1:9" x14ac:dyDescent="0.2">
      <c r="A520" s="1" t="s">
        <v>1621</v>
      </c>
      <c r="C520" s="17">
        <f>C511</f>
        <v>33691.550000000003</v>
      </c>
      <c r="E520" s="46" t="s">
        <v>3208</v>
      </c>
      <c r="F520" s="32"/>
      <c r="G520" s="32"/>
      <c r="H520" s="32"/>
      <c r="I520" s="33"/>
    </row>
    <row r="521" spans="1:9" x14ac:dyDescent="0.2">
      <c r="A521" s="1" t="s">
        <v>1461</v>
      </c>
      <c r="C521" s="17">
        <f>-F515</f>
        <v>29480.106250000004</v>
      </c>
      <c r="E521" s="34" t="s">
        <v>3209</v>
      </c>
      <c r="I521" s="35"/>
    </row>
    <row r="522" spans="1:9" x14ac:dyDescent="0.2">
      <c r="A522" s="1" t="s">
        <v>1623</v>
      </c>
      <c r="C522" s="27">
        <f>-F514</f>
        <v>4211.4437500000004</v>
      </c>
      <c r="E522" s="34" t="s">
        <v>3210</v>
      </c>
      <c r="I522" s="35"/>
    </row>
    <row r="523" spans="1:9" x14ac:dyDescent="0.2">
      <c r="E523" s="34" t="s">
        <v>3211</v>
      </c>
      <c r="I523" s="35"/>
    </row>
    <row r="524" spans="1:9" x14ac:dyDescent="0.2">
      <c r="A524" s="1" t="s">
        <v>1892</v>
      </c>
      <c r="C524" s="17">
        <f>-E511</f>
        <v>22269.893749999999</v>
      </c>
      <c r="E524" s="34" t="s">
        <v>3212</v>
      </c>
      <c r="I524" s="35"/>
    </row>
    <row r="525" spans="1:9" x14ac:dyDescent="0.2">
      <c r="A525" s="1" t="s">
        <v>1623</v>
      </c>
      <c r="C525" s="27">
        <f>C524</f>
        <v>22269.893749999999</v>
      </c>
      <c r="E525" s="34" t="s">
        <v>3213</v>
      </c>
      <c r="I525" s="35"/>
    </row>
    <row r="526" spans="1:9" x14ac:dyDescent="0.2">
      <c r="E526" s="34" t="s">
        <v>3214</v>
      </c>
      <c r="I526" s="35"/>
    </row>
    <row r="527" spans="1:9" ht="17" thickBot="1" x14ac:dyDescent="0.25">
      <c r="E527" s="36" t="s">
        <v>3215</v>
      </c>
      <c r="F527" s="37"/>
      <c r="G527" s="37"/>
      <c r="H527" s="37"/>
      <c r="I527" s="38"/>
    </row>
    <row r="528" spans="1:9" x14ac:dyDescent="0.2">
      <c r="A528" s="8" t="s">
        <v>1893</v>
      </c>
    </row>
    <row r="529" spans="1:8" x14ac:dyDescent="0.2">
      <c r="D529" s="108">
        <v>43465</v>
      </c>
      <c r="E529" s="108">
        <v>43830</v>
      </c>
      <c r="F529" s="108">
        <v>44196</v>
      </c>
      <c r="H529"/>
    </row>
    <row r="530" spans="1:8" x14ac:dyDescent="0.2">
      <c r="A530" s="1" t="s">
        <v>1553</v>
      </c>
      <c r="D530" s="42">
        <v>525000</v>
      </c>
      <c r="E530" s="42">
        <f>600000</f>
        <v>600000</v>
      </c>
      <c r="F530" s="42">
        <f>F533+F532</f>
        <v>396825.3896103896</v>
      </c>
    </row>
    <row r="531" spans="1:8" x14ac:dyDescent="0.2">
      <c r="A531" s="1" t="s">
        <v>691</v>
      </c>
      <c r="D531" s="7">
        <v>0</v>
      </c>
      <c r="E531" s="7">
        <v>0</v>
      </c>
      <c r="F531" s="7">
        <v>0</v>
      </c>
    </row>
    <row r="532" spans="1:8" x14ac:dyDescent="0.2">
      <c r="A532" s="1" t="s">
        <v>1205</v>
      </c>
      <c r="D532" s="7">
        <v>0</v>
      </c>
      <c r="E532" s="7">
        <v>0</v>
      </c>
      <c r="F532" s="42">
        <f>G502</f>
        <v>96825.389610389611</v>
      </c>
    </row>
    <row r="533" spans="1:8" x14ac:dyDescent="0.2">
      <c r="A533" s="1" t="s">
        <v>120</v>
      </c>
      <c r="D533" s="110">
        <v>525000</v>
      </c>
      <c r="E533" s="110">
        <f>E530</f>
        <v>600000</v>
      </c>
      <c r="F533" s="110">
        <v>300000</v>
      </c>
    </row>
    <row r="534" spans="1:8" x14ac:dyDescent="0.2">
      <c r="D534" s="7"/>
      <c r="E534" s="7"/>
      <c r="F534" s="7"/>
    </row>
    <row r="535" spans="1:8" x14ac:dyDescent="0.2">
      <c r="A535" s="1" t="s">
        <v>1832</v>
      </c>
      <c r="D535" s="42">
        <v>55043.650793650813</v>
      </c>
      <c r="E535" s="42">
        <v>112793</v>
      </c>
      <c r="F535" s="42">
        <v>0</v>
      </c>
    </row>
    <row r="536" spans="1:8" x14ac:dyDescent="0.2">
      <c r="D536" s="7"/>
      <c r="E536" s="7"/>
      <c r="F536" s="7"/>
    </row>
    <row r="537" spans="1:8" x14ac:dyDescent="0.2">
      <c r="A537" s="1" t="s">
        <v>1477</v>
      </c>
      <c r="D537" s="42">
        <v>16441.609977324271</v>
      </c>
      <c r="E537" s="42">
        <v>33692</v>
      </c>
      <c r="F537" s="42">
        <v>0</v>
      </c>
    </row>
    <row r="538" spans="1:8" x14ac:dyDescent="0.2">
      <c r="A538" s="1" t="s">
        <v>1631</v>
      </c>
      <c r="D538" s="42"/>
      <c r="E538" s="42"/>
      <c r="F538" s="42">
        <f>C524</f>
        <v>22269.893749999999</v>
      </c>
    </row>
    <row r="539" spans="1:8" x14ac:dyDescent="0.2">
      <c r="D539" s="7"/>
      <c r="E539" s="7"/>
      <c r="F539" s="7"/>
    </row>
    <row r="540" spans="1:8" x14ac:dyDescent="0.2">
      <c r="A540" s="1" t="s">
        <v>1662</v>
      </c>
      <c r="D540" s="7">
        <v>0</v>
      </c>
      <c r="E540" s="7">
        <v>0</v>
      </c>
      <c r="F540" s="7">
        <v>0</v>
      </c>
    </row>
    <row r="541" spans="1:8" x14ac:dyDescent="0.2">
      <c r="A541" s="1" t="s">
        <v>1833</v>
      </c>
      <c r="D541" s="7">
        <v>0</v>
      </c>
      <c r="E541" s="7">
        <v>0</v>
      </c>
      <c r="F541" s="152">
        <f>C522+C525</f>
        <v>26481.337500000001</v>
      </c>
    </row>
    <row r="542" spans="1:8" x14ac:dyDescent="0.2">
      <c r="D542" s="7"/>
      <c r="E542" s="7"/>
      <c r="F542" s="7"/>
    </row>
    <row r="543" spans="1:8" x14ac:dyDescent="0.2">
      <c r="A543" s="1" t="s">
        <v>1834</v>
      </c>
      <c r="D543" s="109">
        <v>-16441.609977324271</v>
      </c>
      <c r="E543" s="109">
        <f>E381</f>
        <v>-17250.000000000004</v>
      </c>
      <c r="F543" s="109">
        <f>C521</f>
        <v>29480.106250000004</v>
      </c>
    </row>
    <row r="544" spans="1:8" ht="17" thickBot="1" x14ac:dyDescent="0.25"/>
    <row r="545" spans="1:14" x14ac:dyDescent="0.2">
      <c r="A545" s="225" t="s">
        <v>3216</v>
      </c>
      <c r="B545" s="48"/>
      <c r="C545" s="48"/>
      <c r="D545" s="48"/>
      <c r="E545" s="32"/>
      <c r="F545" s="32"/>
      <c r="G545" s="32"/>
      <c r="H545" s="32"/>
      <c r="I545" s="32"/>
      <c r="J545" s="32"/>
      <c r="K545" s="32"/>
      <c r="L545" s="33"/>
    </row>
    <row r="546" spans="1:14" x14ac:dyDescent="0.2">
      <c r="A546" s="34" t="s">
        <v>3217</v>
      </c>
      <c r="B546" s="1" t="s">
        <v>3218</v>
      </c>
      <c r="L546" s="35"/>
    </row>
    <row r="547" spans="1:14" x14ac:dyDescent="0.2">
      <c r="A547" s="34"/>
      <c r="L547" s="35"/>
      <c r="N547" s="121" t="s">
        <v>3237</v>
      </c>
    </row>
    <row r="548" spans="1:14" x14ac:dyDescent="0.2">
      <c r="A548" s="34"/>
      <c r="B548" s="1" t="s">
        <v>3219</v>
      </c>
      <c r="L548" s="35"/>
    </row>
    <row r="549" spans="1:14" x14ac:dyDescent="0.2">
      <c r="A549" s="34"/>
      <c r="L549" s="35"/>
    </row>
    <row r="550" spans="1:14" x14ac:dyDescent="0.2">
      <c r="A550" s="34"/>
      <c r="B550" s="1" t="s">
        <v>3220</v>
      </c>
      <c r="L550" s="35"/>
    </row>
    <row r="551" spans="1:14" x14ac:dyDescent="0.2">
      <c r="A551" s="34"/>
      <c r="L551" s="35"/>
    </row>
    <row r="552" spans="1:14" x14ac:dyDescent="0.2">
      <c r="A552" s="34"/>
      <c r="B552" s="1" t="s">
        <v>3221</v>
      </c>
      <c r="L552" s="35"/>
    </row>
    <row r="553" spans="1:14" x14ac:dyDescent="0.2">
      <c r="A553" s="34"/>
      <c r="L553" s="35"/>
    </row>
    <row r="554" spans="1:14" x14ac:dyDescent="0.2">
      <c r="A554" s="34"/>
      <c r="L554" s="35"/>
    </row>
    <row r="555" spans="1:14" x14ac:dyDescent="0.2">
      <c r="A555" s="34"/>
      <c r="B555" s="1" t="s">
        <v>3222</v>
      </c>
      <c r="E555" s="7" t="s">
        <v>3223</v>
      </c>
      <c r="L555" s="35"/>
    </row>
    <row r="556" spans="1:14" x14ac:dyDescent="0.2">
      <c r="A556" s="34"/>
      <c r="L556" s="35"/>
    </row>
    <row r="557" spans="1:14" x14ac:dyDescent="0.2">
      <c r="A557" s="34"/>
      <c r="F557" s="7" t="s">
        <v>3225</v>
      </c>
      <c r="L557" s="35"/>
    </row>
    <row r="558" spans="1:14" x14ac:dyDescent="0.2">
      <c r="A558" s="34"/>
      <c r="D558" s="1" t="s">
        <v>3224</v>
      </c>
      <c r="F558" s="1" t="s">
        <v>3226</v>
      </c>
      <c r="L558" s="35"/>
    </row>
    <row r="559" spans="1:14" x14ac:dyDescent="0.2">
      <c r="A559" s="34"/>
      <c r="D559" s="1" t="s">
        <v>1555</v>
      </c>
      <c r="F559" s="1" t="s">
        <v>3227</v>
      </c>
      <c r="L559" s="35"/>
    </row>
    <row r="560" spans="1:14" x14ac:dyDescent="0.2">
      <c r="A560" s="34"/>
      <c r="F560" s="1" t="s">
        <v>3228</v>
      </c>
      <c r="L560" s="35"/>
    </row>
    <row r="561" spans="1:12" x14ac:dyDescent="0.2">
      <c r="A561" s="34"/>
      <c r="L561" s="35"/>
    </row>
    <row r="562" spans="1:12" x14ac:dyDescent="0.2">
      <c r="A562" s="226" t="s">
        <v>3229</v>
      </c>
      <c r="L562" s="35"/>
    </row>
    <row r="563" spans="1:12" x14ac:dyDescent="0.2">
      <c r="A563" s="34"/>
      <c r="L563" s="35"/>
    </row>
    <row r="564" spans="1:12" x14ac:dyDescent="0.2">
      <c r="A564" s="34"/>
      <c r="B564" s="1" t="s">
        <v>3230</v>
      </c>
      <c r="L564" s="35"/>
    </row>
    <row r="565" spans="1:12" x14ac:dyDescent="0.2">
      <c r="A565" s="34"/>
      <c r="B565" s="1" t="s">
        <v>3231</v>
      </c>
      <c r="L565" s="35"/>
    </row>
    <row r="566" spans="1:12" x14ac:dyDescent="0.2">
      <c r="A566" s="34"/>
      <c r="L566" s="35"/>
    </row>
    <row r="567" spans="1:12" ht="17" thickBot="1" x14ac:dyDescent="0.25">
      <c r="A567" s="34"/>
      <c r="B567" s="1" t="s">
        <v>3232</v>
      </c>
      <c r="F567" s="7" t="s">
        <v>369</v>
      </c>
      <c r="L567" s="35"/>
    </row>
    <row r="568" spans="1:12" ht="17" thickBot="1" x14ac:dyDescent="0.25">
      <c r="A568" s="34"/>
      <c r="B568" s="1" t="s">
        <v>3233</v>
      </c>
      <c r="F568" s="69">
        <v>0</v>
      </c>
      <c r="L568" s="35"/>
    </row>
    <row r="569" spans="1:12" ht="17" thickBot="1" x14ac:dyDescent="0.25">
      <c r="A569" s="34"/>
      <c r="B569" s="1" t="s">
        <v>3235</v>
      </c>
      <c r="F569" s="249" t="s">
        <v>3236</v>
      </c>
      <c r="L569" s="35"/>
    </row>
    <row r="570" spans="1:12" ht="17" thickBot="1" x14ac:dyDescent="0.25">
      <c r="A570" s="36"/>
      <c r="B570" s="37" t="s">
        <v>3234</v>
      </c>
      <c r="C570" s="37"/>
      <c r="D570" s="37"/>
      <c r="E570" s="37"/>
      <c r="F570" s="248" t="s">
        <v>3236</v>
      </c>
      <c r="G570" s="37"/>
      <c r="H570" s="37"/>
      <c r="I570" s="37"/>
      <c r="J570" s="37"/>
      <c r="K570" s="37"/>
      <c r="L570" s="38"/>
    </row>
    <row r="573" spans="1:12" x14ac:dyDescent="0.2">
      <c r="A573" s="4" t="s">
        <v>1894</v>
      </c>
      <c r="B573" s="4"/>
      <c r="C573" s="4"/>
      <c r="D573" s="4"/>
      <c r="E573" s="4"/>
      <c r="F573" s="4"/>
      <c r="G573" s="4"/>
      <c r="H573" s="4"/>
    </row>
    <row r="574" spans="1:12" x14ac:dyDescent="0.2">
      <c r="A574" s="1" t="s">
        <v>2463</v>
      </c>
    </row>
    <row r="575" spans="1:12" x14ac:dyDescent="0.2">
      <c r="A575" s="1" t="s">
        <v>1895</v>
      </c>
    </row>
    <row r="576" spans="1:12" x14ac:dyDescent="0.2">
      <c r="A576" s="1" t="s">
        <v>1896</v>
      </c>
    </row>
    <row r="577" spans="1:8" x14ac:dyDescent="0.2">
      <c r="A577" s="1" t="s">
        <v>2464</v>
      </c>
    </row>
    <row r="578" spans="1:8" x14ac:dyDescent="0.2">
      <c r="A578" s="1" t="s">
        <v>1897</v>
      </c>
    </row>
    <row r="579" spans="1:8" x14ac:dyDescent="0.2">
      <c r="A579" s="1" t="s">
        <v>1898</v>
      </c>
    </row>
    <row r="581" spans="1:8" x14ac:dyDescent="0.2">
      <c r="A581" s="8" t="s">
        <v>1899</v>
      </c>
    </row>
    <row r="582" spans="1:8" x14ac:dyDescent="0.2">
      <c r="A582" s="1" t="s">
        <v>1514</v>
      </c>
      <c r="D582" s="17">
        <f>300000/7</f>
        <v>42857.142857142855</v>
      </c>
      <c r="F582" s="1" t="s">
        <v>1900</v>
      </c>
      <c r="G582" s="1" t="s">
        <v>3238</v>
      </c>
    </row>
    <row r="583" spans="1:8" x14ac:dyDescent="0.2">
      <c r="A583" s="1" t="s">
        <v>1901</v>
      </c>
      <c r="D583" s="17">
        <f>96825/7</f>
        <v>13832.142857142857</v>
      </c>
      <c r="F583" s="1" t="s">
        <v>1902</v>
      </c>
      <c r="G583" s="1" t="s">
        <v>3239</v>
      </c>
    </row>
    <row r="584" spans="1:8" x14ac:dyDescent="0.2">
      <c r="A584" s="1" t="s">
        <v>1516</v>
      </c>
      <c r="D584" s="17">
        <f>D582+D583</f>
        <v>56689.28571428571</v>
      </c>
      <c r="F584" s="1" t="s">
        <v>1903</v>
      </c>
      <c r="G584" s="1" t="s">
        <v>3240</v>
      </c>
    </row>
    <row r="586" spans="1:8" x14ac:dyDescent="0.2">
      <c r="A586" s="8" t="s">
        <v>2465</v>
      </c>
    </row>
    <row r="587" spans="1:8" x14ac:dyDescent="0.2">
      <c r="A587" s="62" t="s">
        <v>2466</v>
      </c>
    </row>
    <row r="588" spans="1:8" x14ac:dyDescent="0.2">
      <c r="A588" s="62" t="s">
        <v>2467</v>
      </c>
    </row>
    <row r="589" spans="1:8" x14ac:dyDescent="0.2">
      <c r="A589" s="62" t="s">
        <v>2468</v>
      </c>
    </row>
    <row r="590" spans="1:8" x14ac:dyDescent="0.2">
      <c r="A590" s="62" t="s">
        <v>2469</v>
      </c>
    </row>
    <row r="591" spans="1:8" x14ac:dyDescent="0.2">
      <c r="A591" s="8"/>
    </row>
    <row r="592" spans="1:8" x14ac:dyDescent="0.2">
      <c r="A592" s="1" t="s">
        <v>1642</v>
      </c>
      <c r="D592" s="17">
        <f>300000*6/7</f>
        <v>257142.85714285713</v>
      </c>
      <c r="F592" s="1" t="s">
        <v>1904</v>
      </c>
      <c r="H592" s="1" t="s">
        <v>2472</v>
      </c>
    </row>
    <row r="593" spans="1:6" ht="17" thickBot="1" x14ac:dyDescent="0.25">
      <c r="A593" s="1" t="s">
        <v>2470</v>
      </c>
      <c r="D593" s="11">
        <v>240000</v>
      </c>
    </row>
    <row r="594" spans="1:6" ht="17" thickBot="1" x14ac:dyDescent="0.25">
      <c r="A594" s="1" t="s">
        <v>1905</v>
      </c>
      <c r="D594" s="119">
        <f>D592-D593</f>
        <v>17142.85714285713</v>
      </c>
      <c r="E594" s="1" t="s">
        <v>2471</v>
      </c>
    </row>
    <row r="596" spans="1:6" x14ac:dyDescent="0.2">
      <c r="A596" s="1" t="s">
        <v>1906</v>
      </c>
    </row>
    <row r="597" spans="1:6" x14ac:dyDescent="0.2">
      <c r="A597" s="1" t="s">
        <v>1907</v>
      </c>
    </row>
    <row r="599" spans="1:6" x14ac:dyDescent="0.2">
      <c r="A599" s="1" t="s">
        <v>1313</v>
      </c>
      <c r="C599" s="17">
        <f>D594</f>
        <v>17142.85714285713</v>
      </c>
    </row>
    <row r="600" spans="1:6" x14ac:dyDescent="0.2">
      <c r="A600" s="1" t="s">
        <v>1315</v>
      </c>
      <c r="C600" s="17">
        <f>C599</f>
        <v>17142.85714285713</v>
      </c>
    </row>
    <row r="602" spans="1:6" x14ac:dyDescent="0.2">
      <c r="A602" s="181" t="s">
        <v>1908</v>
      </c>
      <c r="B602" s="181"/>
      <c r="C602" s="181"/>
      <c r="D602" s="181"/>
      <c r="E602" s="181"/>
      <c r="F602" s="181"/>
    </row>
    <row r="603" spans="1:6" x14ac:dyDescent="0.2">
      <c r="A603" s="181"/>
      <c r="B603" s="181" t="s">
        <v>1909</v>
      </c>
      <c r="C603" s="181"/>
      <c r="D603" s="182">
        <f>F530</f>
        <v>396825.3896103896</v>
      </c>
      <c r="E603" s="181"/>
      <c r="F603" s="181"/>
    </row>
    <row r="604" spans="1:6" x14ac:dyDescent="0.2">
      <c r="A604" s="181"/>
      <c r="B604" s="181" t="s">
        <v>691</v>
      </c>
      <c r="C604" s="181"/>
      <c r="D604" s="183">
        <f>D584</f>
        <v>56689.28571428571</v>
      </c>
      <c r="E604" s="181"/>
      <c r="F604" s="181"/>
    </row>
    <row r="605" spans="1:6" ht="17" thickBot="1" x14ac:dyDescent="0.25">
      <c r="A605" s="181"/>
      <c r="B605" s="181" t="s">
        <v>1910</v>
      </c>
      <c r="C605" s="181"/>
      <c r="D605" s="182">
        <f>F532-D583</f>
        <v>82993.246753246756</v>
      </c>
      <c r="E605" s="181"/>
      <c r="F605" s="181"/>
    </row>
    <row r="606" spans="1:6" ht="17" thickBot="1" x14ac:dyDescent="0.25">
      <c r="A606" s="181"/>
      <c r="B606" s="181" t="s">
        <v>1911</v>
      </c>
      <c r="C606" s="181"/>
      <c r="D606" s="184">
        <f>D603-D604-D605</f>
        <v>257142.85714285716</v>
      </c>
      <c r="E606" s="181"/>
      <c r="F606" s="181"/>
    </row>
    <row r="608" spans="1:6" x14ac:dyDescent="0.2">
      <c r="A608" s="8" t="s">
        <v>1912</v>
      </c>
    </row>
    <row r="609" spans="1:7" x14ac:dyDescent="0.2">
      <c r="A609" s="1" t="s">
        <v>1913</v>
      </c>
    </row>
    <row r="610" spans="1:7" x14ac:dyDescent="0.2">
      <c r="A610" s="1" t="s">
        <v>1914</v>
      </c>
    </row>
    <row r="611" spans="1:7" x14ac:dyDescent="0.2">
      <c r="B611" s="62"/>
      <c r="D611" s="62"/>
    </row>
    <row r="612" spans="1:7" x14ac:dyDescent="0.2">
      <c r="B612" s="140">
        <v>44196</v>
      </c>
      <c r="C612" s="59"/>
      <c r="D612" s="140">
        <v>44561</v>
      </c>
      <c r="E612" s="59"/>
      <c r="F612" s="59"/>
      <c r="G612" s="59"/>
    </row>
    <row r="613" spans="1:7" x14ac:dyDescent="0.2">
      <c r="A613" s="1" t="s">
        <v>1492</v>
      </c>
      <c r="B613" s="60">
        <v>300000</v>
      </c>
      <c r="C613" s="59"/>
      <c r="D613" s="60">
        <f>D593</f>
        <v>240000</v>
      </c>
      <c r="E613" s="59"/>
      <c r="F613" s="59"/>
      <c r="G613" s="59"/>
    </row>
    <row r="614" spans="1:7" x14ac:dyDescent="0.2">
      <c r="A614" s="1" t="s">
        <v>1468</v>
      </c>
      <c r="B614" s="63">
        <f>E508</f>
        <v>396825.625</v>
      </c>
      <c r="C614" s="59"/>
      <c r="D614" s="63">
        <f>453515*6/8</f>
        <v>340136.25</v>
      </c>
      <c r="E614" s="59"/>
      <c r="F614" s="59"/>
      <c r="G614" s="59" t="s">
        <v>1915</v>
      </c>
    </row>
    <row r="615" spans="1:7" x14ac:dyDescent="0.2">
      <c r="A615" s="1" t="s">
        <v>1651</v>
      </c>
      <c r="B615" s="185">
        <f>B613-B614</f>
        <v>-96825.625</v>
      </c>
      <c r="C615" s="63"/>
      <c r="D615" s="185">
        <f>D613-D614</f>
        <v>-100136.25</v>
      </c>
      <c r="E615" s="59"/>
      <c r="F615" s="59"/>
      <c r="G615" s="59"/>
    </row>
    <row r="616" spans="1:7" x14ac:dyDescent="0.2">
      <c r="A616" s="1" t="s">
        <v>1653</v>
      </c>
      <c r="B616" s="148">
        <v>0.23</v>
      </c>
      <c r="C616" s="62"/>
      <c r="D616" s="148">
        <v>0.23</v>
      </c>
      <c r="E616" s="59"/>
      <c r="F616" s="59"/>
      <c r="G616" s="59"/>
    </row>
    <row r="617" spans="1:7" x14ac:dyDescent="0.2">
      <c r="A617" s="1" t="s">
        <v>1887</v>
      </c>
      <c r="B617" s="185">
        <f>B615*B616</f>
        <v>-22269.893749999999</v>
      </c>
      <c r="C617" s="62"/>
      <c r="D617" s="185">
        <f>D615*D616</f>
        <v>-23031.337500000001</v>
      </c>
      <c r="E617" s="59"/>
      <c r="F617" s="59"/>
      <c r="G617" s="59"/>
    </row>
    <row r="619" spans="1:7" x14ac:dyDescent="0.2">
      <c r="A619" s="1" t="s">
        <v>1628</v>
      </c>
      <c r="C619" s="17">
        <f>B617-D617</f>
        <v>761.44375000000218</v>
      </c>
      <c r="D619" s="1" t="s">
        <v>3241</v>
      </c>
    </row>
    <row r="620" spans="1:7" x14ac:dyDescent="0.2">
      <c r="A620" s="1" t="s">
        <v>1623</v>
      </c>
      <c r="C620" s="17">
        <f>C619</f>
        <v>761.44375000000218</v>
      </c>
      <c r="D620" s="1" t="s">
        <v>3242</v>
      </c>
    </row>
    <row r="622" spans="1:7" x14ac:dyDescent="0.2">
      <c r="A622" s="1" t="s">
        <v>2473</v>
      </c>
    </row>
    <row r="623" spans="1:7" x14ac:dyDescent="0.2">
      <c r="A623" s="1" t="s">
        <v>2474</v>
      </c>
    </row>
    <row r="624" spans="1:7" x14ac:dyDescent="0.2">
      <c r="A624" s="1" t="s">
        <v>2475</v>
      </c>
    </row>
    <row r="626" spans="1:7" x14ac:dyDescent="0.2">
      <c r="A626" s="8" t="s">
        <v>1916</v>
      </c>
    </row>
    <row r="627" spans="1:7" x14ac:dyDescent="0.2">
      <c r="D627" s="108">
        <v>43465</v>
      </c>
      <c r="E627" s="108">
        <v>43830</v>
      </c>
      <c r="F627" s="108">
        <v>44196</v>
      </c>
      <c r="G627" s="108">
        <v>44561</v>
      </c>
    </row>
    <row r="628" spans="1:7" x14ac:dyDescent="0.2">
      <c r="A628" s="1" t="s">
        <v>1553</v>
      </c>
      <c r="D628" s="42">
        <v>525000</v>
      </c>
      <c r="E628" s="42">
        <v>600000</v>
      </c>
      <c r="F628" s="42">
        <v>396825.3896103896</v>
      </c>
      <c r="G628" s="42">
        <f>G631+G630+G629</f>
        <v>396825.3896103896</v>
      </c>
    </row>
    <row r="629" spans="1:7" x14ac:dyDescent="0.2">
      <c r="A629" s="1" t="s">
        <v>691</v>
      </c>
      <c r="D629" s="7">
        <v>0</v>
      </c>
      <c r="E629" s="7">
        <v>0</v>
      </c>
      <c r="F629" s="7">
        <v>0</v>
      </c>
      <c r="G629" s="109">
        <f>D604</f>
        <v>56689.28571428571</v>
      </c>
    </row>
    <row r="630" spans="1:7" x14ac:dyDescent="0.2">
      <c r="A630" s="1" t="s">
        <v>1205</v>
      </c>
      <c r="D630" s="7">
        <v>0</v>
      </c>
      <c r="E630" s="7">
        <v>0</v>
      </c>
      <c r="F630" s="42">
        <v>96825.389610389611</v>
      </c>
      <c r="G630" s="42">
        <f>F630-D583+C599</f>
        <v>100136.10389610389</v>
      </c>
    </row>
    <row r="631" spans="1:7" x14ac:dyDescent="0.2">
      <c r="A631" s="1" t="s">
        <v>120</v>
      </c>
      <c r="D631" s="110">
        <v>525000</v>
      </c>
      <c r="E631" s="110">
        <v>600000</v>
      </c>
      <c r="F631" s="110">
        <v>300000</v>
      </c>
      <c r="G631" s="110">
        <f>D613</f>
        <v>240000</v>
      </c>
    </row>
    <row r="632" spans="1:7" x14ac:dyDescent="0.2">
      <c r="D632" s="7"/>
      <c r="E632" s="7"/>
      <c r="F632" s="7"/>
      <c r="G632" s="7"/>
    </row>
    <row r="633" spans="1:7" x14ac:dyDescent="0.2">
      <c r="A633" s="1" t="s">
        <v>1832</v>
      </c>
      <c r="D633" s="42">
        <v>55043.650793650813</v>
      </c>
      <c r="E633" s="42">
        <v>112793</v>
      </c>
      <c r="F633" s="42">
        <v>0</v>
      </c>
      <c r="G633" s="42">
        <v>0</v>
      </c>
    </row>
    <row r="634" spans="1:7" x14ac:dyDescent="0.2">
      <c r="D634" s="7"/>
      <c r="E634" s="7"/>
      <c r="F634" s="7"/>
      <c r="G634" s="7"/>
    </row>
    <row r="635" spans="1:7" x14ac:dyDescent="0.2">
      <c r="A635" s="1" t="s">
        <v>1477</v>
      </c>
      <c r="D635" s="42">
        <v>16441.609977324271</v>
      </c>
      <c r="E635" s="42">
        <v>33692</v>
      </c>
      <c r="F635" s="42">
        <v>0</v>
      </c>
      <c r="G635" s="42">
        <v>0</v>
      </c>
    </row>
    <row r="636" spans="1:7" x14ac:dyDescent="0.2">
      <c r="A636" s="1" t="s">
        <v>1631</v>
      </c>
      <c r="D636" s="42"/>
      <c r="E636" s="42"/>
      <c r="F636" s="42">
        <v>22269.893749999999</v>
      </c>
      <c r="G636" s="42">
        <f>-D617</f>
        <v>23031.337500000001</v>
      </c>
    </row>
    <row r="637" spans="1:7" x14ac:dyDescent="0.2">
      <c r="D637" s="7"/>
      <c r="E637" s="7"/>
      <c r="F637" s="7"/>
      <c r="G637" s="7"/>
    </row>
    <row r="638" spans="1:7" x14ac:dyDescent="0.2">
      <c r="A638" s="1" t="s">
        <v>1662</v>
      </c>
      <c r="D638" s="7">
        <v>0</v>
      </c>
      <c r="E638" s="7">
        <v>0</v>
      </c>
      <c r="F638" s="7">
        <v>0</v>
      </c>
      <c r="G638" s="7">
        <v>0</v>
      </c>
    </row>
    <row r="639" spans="1:7" x14ac:dyDescent="0.2">
      <c r="A639" s="1" t="s">
        <v>1833</v>
      </c>
      <c r="D639" s="7">
        <v>0</v>
      </c>
      <c r="E639" s="7">
        <v>0</v>
      </c>
      <c r="F639" s="152">
        <v>26481.337500000001</v>
      </c>
      <c r="G639" s="152">
        <f>C620</f>
        <v>761.44375000000218</v>
      </c>
    </row>
    <row r="640" spans="1:7" x14ac:dyDescent="0.2">
      <c r="D640" s="7"/>
      <c r="E640" s="7"/>
      <c r="F640" s="7"/>
      <c r="G640" s="7"/>
    </row>
    <row r="641" spans="1:8" x14ac:dyDescent="0.2">
      <c r="A641" s="1" t="s">
        <v>1834</v>
      </c>
      <c r="D641" s="109">
        <v>-16441.609977324271</v>
      </c>
      <c r="E641" s="109">
        <v>-17250.000000000004</v>
      </c>
      <c r="F641" s="109">
        <v>29480.106250000004</v>
      </c>
      <c r="G641" s="109">
        <v>0</v>
      </c>
    </row>
    <row r="643" spans="1:8" x14ac:dyDescent="0.2">
      <c r="A643" s="4" t="s">
        <v>1917</v>
      </c>
      <c r="B643" s="4"/>
      <c r="C643" s="4"/>
      <c r="D643" s="4"/>
      <c r="E643" s="4"/>
      <c r="F643" s="4"/>
      <c r="G643" s="4"/>
      <c r="H643" s="4"/>
    </row>
    <row r="644" spans="1:8" x14ac:dyDescent="0.2">
      <c r="A644" s="1" t="s">
        <v>1918</v>
      </c>
    </row>
    <row r="645" spans="1:8" x14ac:dyDescent="0.2">
      <c r="A645" s="1" t="s">
        <v>1919</v>
      </c>
    </row>
    <row r="646" spans="1:8" x14ac:dyDescent="0.2">
      <c r="A646" s="1" t="s">
        <v>1920</v>
      </c>
    </row>
    <row r="648" spans="1:8" x14ac:dyDescent="0.2">
      <c r="A648" s="7" t="s">
        <v>3217</v>
      </c>
      <c r="B648" s="1" t="s">
        <v>3243</v>
      </c>
    </row>
    <row r="649" spans="1:8" x14ac:dyDescent="0.2">
      <c r="B649" s="1" t="s">
        <v>3244</v>
      </c>
    </row>
    <row r="651" spans="1:8" x14ac:dyDescent="0.2">
      <c r="A651" s="8" t="s">
        <v>1921</v>
      </c>
    </row>
    <row r="652" spans="1:8" x14ac:dyDescent="0.2">
      <c r="A652" s="1" t="s">
        <v>1514</v>
      </c>
      <c r="D652" s="11">
        <v>40000</v>
      </c>
      <c r="F652" s="1" t="s">
        <v>1922</v>
      </c>
    </row>
    <row r="653" spans="1:8" x14ac:dyDescent="0.2">
      <c r="A653" s="1" t="s">
        <v>1901</v>
      </c>
      <c r="D653" s="11">
        <f>100136/6</f>
        <v>16689.333333333332</v>
      </c>
      <c r="F653" s="1" t="s">
        <v>1923</v>
      </c>
    </row>
    <row r="654" spans="1:8" x14ac:dyDescent="0.2">
      <c r="A654" s="1" t="s">
        <v>1516</v>
      </c>
      <c r="D654" s="11">
        <f>D652+D653</f>
        <v>56689.333333333328</v>
      </c>
    </row>
    <row r="656" spans="1:8" x14ac:dyDescent="0.2">
      <c r="A656" s="8" t="s">
        <v>1924</v>
      </c>
    </row>
    <row r="657" spans="1:7" x14ac:dyDescent="0.2">
      <c r="A657" s="1" t="s">
        <v>1539</v>
      </c>
      <c r="D657" s="11">
        <f>D654</f>
        <v>56689.333333333328</v>
      </c>
    </row>
    <row r="658" spans="1:7" x14ac:dyDescent="0.2">
      <c r="A658" s="1" t="s">
        <v>1669</v>
      </c>
      <c r="D658" s="11">
        <f>D654</f>
        <v>56689.333333333328</v>
      </c>
    </row>
    <row r="660" spans="1:7" x14ac:dyDescent="0.2">
      <c r="A660" s="8" t="s">
        <v>1925</v>
      </c>
    </row>
    <row r="661" spans="1:7" x14ac:dyDescent="0.2">
      <c r="B661" s="1" t="s">
        <v>120</v>
      </c>
      <c r="D661" s="11">
        <f>240000*5/6</f>
        <v>200000</v>
      </c>
      <c r="F661" s="1" t="s">
        <v>1926</v>
      </c>
    </row>
    <row r="662" spans="1:7" ht="17" thickBot="1" x14ac:dyDescent="0.25">
      <c r="B662" s="1" t="s">
        <v>1927</v>
      </c>
      <c r="D662" s="11">
        <v>420000</v>
      </c>
    </row>
    <row r="663" spans="1:7" ht="17" thickBot="1" x14ac:dyDescent="0.25">
      <c r="B663" s="1" t="s">
        <v>1456</v>
      </c>
      <c r="D663" s="40">
        <f>D662-D661</f>
        <v>220000</v>
      </c>
    </row>
    <row r="667" spans="1:7" x14ac:dyDescent="0.2">
      <c r="B667" s="1" t="s">
        <v>1928</v>
      </c>
      <c r="E667" s="1" t="s">
        <v>3248</v>
      </c>
    </row>
    <row r="668" spans="1:7" x14ac:dyDescent="0.2">
      <c r="A668" s="11">
        <f>100136*5/6</f>
        <v>83446.666666666672</v>
      </c>
      <c r="C668" s="1" t="s">
        <v>1929</v>
      </c>
      <c r="E668" s="11">
        <f>D663-A668</f>
        <v>136553.33333333331</v>
      </c>
      <c r="G668" s="1" t="s">
        <v>1930</v>
      </c>
    </row>
    <row r="672" spans="1:7" x14ac:dyDescent="0.2">
      <c r="B672" s="1" t="s">
        <v>1931</v>
      </c>
      <c r="E672" s="1" t="s">
        <v>1450</v>
      </c>
      <c r="G672" s="11">
        <f>E668</f>
        <v>136553.33333333331</v>
      </c>
    </row>
    <row r="673" spans="1:8" x14ac:dyDescent="0.2">
      <c r="B673" s="1" t="s">
        <v>1932</v>
      </c>
      <c r="E673" s="1" t="s">
        <v>1933</v>
      </c>
      <c r="G673" s="11">
        <f>G672</f>
        <v>136553.33333333331</v>
      </c>
    </row>
    <row r="675" spans="1:8" x14ac:dyDescent="0.2">
      <c r="B675" s="1" t="s">
        <v>3245</v>
      </c>
    </row>
    <row r="676" spans="1:8" x14ac:dyDescent="0.2">
      <c r="B676" s="1" t="s">
        <v>3246</v>
      </c>
    </row>
    <row r="677" spans="1:8" x14ac:dyDescent="0.2">
      <c r="B677" s="1" t="s">
        <v>3247</v>
      </c>
    </row>
    <row r="679" spans="1:8" x14ac:dyDescent="0.2">
      <c r="A679" s="8" t="s">
        <v>1934</v>
      </c>
    </row>
    <row r="680" spans="1:8" x14ac:dyDescent="0.2">
      <c r="C680" s="108">
        <v>44561</v>
      </c>
      <c r="D680" s="7"/>
      <c r="E680" s="108">
        <v>44926</v>
      </c>
    </row>
    <row r="681" spans="1:8" x14ac:dyDescent="0.2">
      <c r="B681" s="1" t="s">
        <v>1492</v>
      </c>
      <c r="C681" s="17">
        <v>240000</v>
      </c>
      <c r="E681" s="17">
        <f>D662</f>
        <v>420000</v>
      </c>
    </row>
    <row r="682" spans="1:8" x14ac:dyDescent="0.2">
      <c r="B682" s="1" t="s">
        <v>1884</v>
      </c>
      <c r="C682" s="17">
        <f>D614</f>
        <v>340136.25</v>
      </c>
      <c r="E682" s="17">
        <f>453515*5/8</f>
        <v>283446.875</v>
      </c>
      <c r="G682" s="1" t="s">
        <v>1935</v>
      </c>
    </row>
    <row r="683" spans="1:8" x14ac:dyDescent="0.2">
      <c r="B683" s="1" t="s">
        <v>1651</v>
      </c>
      <c r="C683" s="142">
        <f>C681-C682</f>
        <v>-100136.25</v>
      </c>
      <c r="D683" s="1" t="s">
        <v>1672</v>
      </c>
      <c r="E683" s="142">
        <f>E681-E682</f>
        <v>136553.125</v>
      </c>
    </row>
    <row r="684" spans="1:8" x14ac:dyDescent="0.2">
      <c r="B684" s="1" t="s">
        <v>1653</v>
      </c>
      <c r="C684" s="120">
        <v>0.23</v>
      </c>
      <c r="E684" s="120">
        <v>0.23</v>
      </c>
    </row>
    <row r="685" spans="1:8" x14ac:dyDescent="0.2">
      <c r="B685" s="1" t="s">
        <v>1631</v>
      </c>
      <c r="C685" s="142">
        <f>C683*C684</f>
        <v>-23031.337500000001</v>
      </c>
      <c r="D685" s="1" t="s">
        <v>1477</v>
      </c>
      <c r="E685" s="142">
        <f>E683*E684</f>
        <v>31407.21875</v>
      </c>
    </row>
    <row r="687" spans="1:8" x14ac:dyDescent="0.2">
      <c r="A687" s="1" t="s">
        <v>1936</v>
      </c>
      <c r="F687" s="17">
        <f>C685</f>
        <v>-23031.337500000001</v>
      </c>
    </row>
    <row r="688" spans="1:8" s="62" customFormat="1" x14ac:dyDescent="0.2">
      <c r="A688" s="62" t="s">
        <v>3249</v>
      </c>
      <c r="F688" s="178">
        <f>-F687/6</f>
        <v>3838.5562500000001</v>
      </c>
      <c r="H688" s="62" t="s">
        <v>1937</v>
      </c>
    </row>
    <row r="689" spans="1:8" s="62" customFormat="1" ht="17" thickBot="1" x14ac:dyDescent="0.25">
      <c r="A689" s="62" t="s">
        <v>3250</v>
      </c>
      <c r="F689" s="178">
        <f>-F687-F688</f>
        <v>19192.78125</v>
      </c>
    </row>
    <row r="690" spans="1:8" s="62" customFormat="1" ht="17" thickBot="1" x14ac:dyDescent="0.25">
      <c r="A690" s="62" t="s">
        <v>1890</v>
      </c>
      <c r="F690" s="179">
        <f>0</f>
        <v>0</v>
      </c>
    </row>
    <row r="691" spans="1:8" s="62" customFormat="1" ht="17" thickBot="1" x14ac:dyDescent="0.25">
      <c r="A691" s="62" t="s">
        <v>3251</v>
      </c>
      <c r="F691" s="178">
        <f>F692</f>
        <v>31407.21875</v>
      </c>
    </row>
    <row r="692" spans="1:8" s="62" customFormat="1" ht="17" thickBot="1" x14ac:dyDescent="0.25">
      <c r="A692" s="62" t="s">
        <v>1938</v>
      </c>
      <c r="F692" s="180">
        <f>E685</f>
        <v>31407.21875</v>
      </c>
    </row>
    <row r="694" spans="1:8" x14ac:dyDescent="0.2">
      <c r="A694" s="1" t="s">
        <v>1659</v>
      </c>
    </row>
    <row r="695" spans="1:8" x14ac:dyDescent="0.2">
      <c r="A695" s="97" t="s">
        <v>1939</v>
      </c>
      <c r="B695" s="97"/>
      <c r="C695" s="153">
        <f>F688+F689</f>
        <v>23031.337500000001</v>
      </c>
      <c r="E695" s="97" t="s">
        <v>1312</v>
      </c>
      <c r="F695" s="97"/>
      <c r="G695" s="153">
        <f>E685</f>
        <v>31407.21875</v>
      </c>
    </row>
    <row r="696" spans="1:8" x14ac:dyDescent="0.2">
      <c r="A696" s="97" t="s">
        <v>1940</v>
      </c>
      <c r="B696" s="97"/>
      <c r="C696" s="153">
        <f>C695</f>
        <v>23031.337500000001</v>
      </c>
      <c r="E696" s="97" t="s">
        <v>1941</v>
      </c>
      <c r="F696" s="97"/>
      <c r="G696" s="153">
        <f>G695</f>
        <v>31407.21875</v>
      </c>
    </row>
    <row r="698" spans="1:8" x14ac:dyDescent="0.2">
      <c r="A698" s="8" t="s">
        <v>1942</v>
      </c>
    </row>
    <row r="699" spans="1:8" x14ac:dyDescent="0.2">
      <c r="D699" s="108">
        <v>43465</v>
      </c>
      <c r="E699" s="108">
        <v>43830</v>
      </c>
      <c r="F699" s="108">
        <v>44196</v>
      </c>
      <c r="G699" s="108">
        <v>44561</v>
      </c>
      <c r="H699" s="108">
        <v>44926</v>
      </c>
    </row>
    <row r="700" spans="1:8" x14ac:dyDescent="0.2">
      <c r="A700" s="1" t="s">
        <v>1553</v>
      </c>
      <c r="D700" s="42">
        <v>525000</v>
      </c>
      <c r="E700" s="42">
        <v>600000</v>
      </c>
      <c r="F700" s="42">
        <v>396825.3896103896</v>
      </c>
      <c r="G700" s="42">
        <v>396825.3896103896</v>
      </c>
      <c r="H700" s="42">
        <f>H703</f>
        <v>420000</v>
      </c>
    </row>
    <row r="701" spans="1:8" x14ac:dyDescent="0.2">
      <c r="A701" s="1" t="s">
        <v>691</v>
      </c>
      <c r="D701" s="7">
        <v>0</v>
      </c>
      <c r="E701" s="7">
        <v>0</v>
      </c>
      <c r="F701" s="7">
        <v>0</v>
      </c>
      <c r="G701" s="109">
        <v>56689.28571428571</v>
      </c>
      <c r="H701" s="109">
        <v>0</v>
      </c>
    </row>
    <row r="702" spans="1:8" x14ac:dyDescent="0.2">
      <c r="A702" s="1" t="s">
        <v>1205</v>
      </c>
      <c r="D702" s="7">
        <v>0</v>
      </c>
      <c r="E702" s="7">
        <v>0</v>
      </c>
      <c r="F702" s="42">
        <v>96825.389610389611</v>
      </c>
      <c r="G702" s="42">
        <v>100136.10389610389</v>
      </c>
      <c r="H702" s="42">
        <v>0</v>
      </c>
    </row>
    <row r="703" spans="1:8" x14ac:dyDescent="0.2">
      <c r="A703" s="1" t="s">
        <v>120</v>
      </c>
      <c r="D703" s="110">
        <v>525000</v>
      </c>
      <c r="E703" s="110">
        <v>600000</v>
      </c>
      <c r="F703" s="110">
        <v>300000</v>
      </c>
      <c r="G703" s="110">
        <v>240000</v>
      </c>
      <c r="H703" s="110">
        <f>D662</f>
        <v>420000</v>
      </c>
    </row>
    <row r="704" spans="1:8" x14ac:dyDescent="0.2">
      <c r="D704" s="7"/>
      <c r="E704" s="7"/>
      <c r="F704" s="7"/>
      <c r="G704" s="7"/>
      <c r="H704" s="7"/>
    </row>
    <row r="705" spans="1:8" x14ac:dyDescent="0.2">
      <c r="A705" s="1" t="s">
        <v>1832</v>
      </c>
      <c r="D705" s="42">
        <v>55043.650793650813</v>
      </c>
      <c r="E705" s="42">
        <v>112793</v>
      </c>
      <c r="F705" s="42">
        <v>0</v>
      </c>
      <c r="G705" s="42">
        <v>0</v>
      </c>
      <c r="H705" s="42">
        <f>G673-E685</f>
        <v>105146.11458333331</v>
      </c>
    </row>
    <row r="706" spans="1:8" x14ac:dyDescent="0.2">
      <c r="D706" s="7"/>
      <c r="E706" s="7"/>
      <c r="F706" s="7"/>
      <c r="G706" s="7"/>
      <c r="H706" s="7"/>
    </row>
    <row r="707" spans="1:8" x14ac:dyDescent="0.2">
      <c r="A707" s="1" t="s">
        <v>1477</v>
      </c>
      <c r="D707" s="42">
        <v>16441.609977324271</v>
      </c>
      <c r="E707" s="42">
        <v>33692</v>
      </c>
      <c r="F707" s="42">
        <v>0</v>
      </c>
      <c r="G707" s="42">
        <v>0</v>
      </c>
      <c r="H707" s="42">
        <f>F692</f>
        <v>31407.21875</v>
      </c>
    </row>
    <row r="708" spans="1:8" x14ac:dyDescent="0.2">
      <c r="A708" s="1" t="s">
        <v>1631</v>
      </c>
      <c r="D708" s="42"/>
      <c r="E708" s="42"/>
      <c r="F708" s="42">
        <v>22269.893749999999</v>
      </c>
      <c r="G708" s="42">
        <v>23031.337500000001</v>
      </c>
      <c r="H708" s="42">
        <v>0</v>
      </c>
    </row>
    <row r="709" spans="1:8" x14ac:dyDescent="0.2">
      <c r="D709" s="7"/>
      <c r="E709" s="7"/>
      <c r="F709" s="7"/>
      <c r="G709" s="7"/>
      <c r="H709" s="7"/>
    </row>
    <row r="710" spans="1:8" x14ac:dyDescent="0.2">
      <c r="A710" s="1" t="s">
        <v>1662</v>
      </c>
      <c r="D710" s="7">
        <v>0</v>
      </c>
      <c r="E710" s="7">
        <v>0</v>
      </c>
      <c r="F710" s="7">
        <v>0</v>
      </c>
      <c r="G710" s="7">
        <v>0</v>
      </c>
      <c r="H710" s="109">
        <f>C695</f>
        <v>23031.337500000001</v>
      </c>
    </row>
    <row r="711" spans="1:8" x14ac:dyDescent="0.2">
      <c r="A711" s="1" t="s">
        <v>1833</v>
      </c>
      <c r="D711" s="7">
        <v>0</v>
      </c>
      <c r="E711" s="7">
        <v>0</v>
      </c>
      <c r="F711" s="152">
        <v>26481.337500000001</v>
      </c>
      <c r="G711" s="152">
        <v>761.44375000000218</v>
      </c>
      <c r="H711" s="152">
        <v>0</v>
      </c>
    </row>
    <row r="712" spans="1:8" x14ac:dyDescent="0.2">
      <c r="D712" s="7"/>
      <c r="E712" s="7"/>
      <c r="F712" s="7"/>
      <c r="G712" s="7"/>
      <c r="H712" s="7"/>
    </row>
    <row r="713" spans="1:8" x14ac:dyDescent="0.2">
      <c r="A713" s="1" t="s">
        <v>1834</v>
      </c>
      <c r="D713" s="109">
        <v>-16441.609977324271</v>
      </c>
      <c r="E713" s="109">
        <v>-17250.000000000004</v>
      </c>
      <c r="F713" s="109">
        <v>29480.106250000004</v>
      </c>
      <c r="G713" s="109">
        <v>0</v>
      </c>
      <c r="H713" s="109">
        <f>-G695</f>
        <v>-31407.21875</v>
      </c>
    </row>
  </sheetData>
  <mergeCells count="1">
    <mergeCell ref="A1:H1"/>
  </mergeCells>
  <pageMargins left="0.25" right="0.25" top="0.75" bottom="0.75" header="0.3" footer="0.3"/>
  <pageSetup paperSize="9" scale="95" orientation="portrait" horizontalDpi="0" verticalDpi="0"/>
  <rowBreaks count="1" manualBreakCount="1">
    <brk id="68" max="7" man="1"/>
  </rowBreaks>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A96775-781B-F045-A9E3-BE42E740651F}">
  <dimension ref="A1:H418"/>
  <sheetViews>
    <sheetView rightToLeft="1" topLeftCell="A306" zoomScale="380" zoomScaleNormal="380" workbookViewId="0">
      <selection activeCell="A420" sqref="A420"/>
    </sheetView>
  </sheetViews>
  <sheetFormatPr baseColWidth="10" defaultRowHeight="16" x14ac:dyDescent="0.2"/>
  <cols>
    <col min="1" max="16384" width="10.83203125" style="1"/>
  </cols>
  <sheetData>
    <row r="1" spans="1:8" x14ac:dyDescent="0.2">
      <c r="A1" s="359" t="s">
        <v>2411</v>
      </c>
      <c r="B1" s="359"/>
      <c r="C1" s="359"/>
      <c r="D1" s="359"/>
      <c r="E1" s="359"/>
      <c r="F1" s="359"/>
      <c r="G1" s="359"/>
      <c r="H1" s="359"/>
    </row>
    <row r="3" spans="1:8" x14ac:dyDescent="0.2">
      <c r="A3" s="130" t="s">
        <v>2002</v>
      </c>
      <c r="B3" s="130"/>
      <c r="C3" s="130"/>
      <c r="D3" s="130"/>
      <c r="E3" s="130"/>
      <c r="F3" s="130"/>
      <c r="G3" s="130"/>
      <c r="H3" s="130"/>
    </row>
    <row r="4" spans="1:8" x14ac:dyDescent="0.2">
      <c r="A4" s="1" t="s">
        <v>2003</v>
      </c>
    </row>
    <row r="5" spans="1:8" x14ac:dyDescent="0.2">
      <c r="A5" s="1" t="s">
        <v>2004</v>
      </c>
    </row>
    <row r="6" spans="1:8" x14ac:dyDescent="0.2">
      <c r="A6" s="1" t="s">
        <v>2005</v>
      </c>
    </row>
    <row r="20" spans="1:8" x14ac:dyDescent="0.2">
      <c r="A20" s="130" t="s">
        <v>2006</v>
      </c>
      <c r="B20" s="130"/>
      <c r="C20" s="130"/>
      <c r="D20" s="130"/>
      <c r="E20" s="130"/>
      <c r="F20" s="130"/>
      <c r="G20" s="130"/>
      <c r="H20" s="130"/>
    </row>
    <row r="21" spans="1:8" x14ac:dyDescent="0.2">
      <c r="A21" s="1" t="s">
        <v>3253</v>
      </c>
    </row>
    <row r="22" spans="1:8" x14ac:dyDescent="0.2">
      <c r="A22" s="1" t="s">
        <v>3252</v>
      </c>
    </row>
    <row r="24" spans="1:8" x14ac:dyDescent="0.2">
      <c r="A24" s="1" t="s">
        <v>3254</v>
      </c>
    </row>
    <row r="25" spans="1:8" x14ac:dyDescent="0.2">
      <c r="A25" s="1" t="s">
        <v>3255</v>
      </c>
    </row>
    <row r="26" spans="1:8" x14ac:dyDescent="0.2">
      <c r="A26" s="3" t="s">
        <v>2007</v>
      </c>
    </row>
    <row r="27" spans="1:8" ht="17" thickBot="1" x14ac:dyDescent="0.25"/>
    <row r="28" spans="1:8" x14ac:dyDescent="0.2">
      <c r="A28" s="46" t="s">
        <v>3256</v>
      </c>
      <c r="B28" s="32"/>
      <c r="C28" s="32"/>
      <c r="D28" s="32"/>
      <c r="E28" s="32"/>
      <c r="F28" s="32"/>
      <c r="G28" s="32"/>
      <c r="H28" s="33"/>
    </row>
    <row r="29" spans="1:8" x14ac:dyDescent="0.2">
      <c r="A29" s="34" t="s">
        <v>3257</v>
      </c>
      <c r="H29" s="35"/>
    </row>
    <row r="30" spans="1:8" ht="17" thickBot="1" x14ac:dyDescent="0.25">
      <c r="A30" s="36" t="s">
        <v>3258</v>
      </c>
      <c r="B30" s="37"/>
      <c r="C30" s="37"/>
      <c r="D30" s="37"/>
      <c r="E30" s="37"/>
      <c r="F30" s="37"/>
      <c r="G30" s="37"/>
      <c r="H30" s="38"/>
    </row>
    <row r="31" spans="1:8" ht="17" thickBot="1" x14ac:dyDescent="0.25"/>
    <row r="32" spans="1:8" x14ac:dyDescent="0.2">
      <c r="A32" s="31" t="s">
        <v>3259</v>
      </c>
      <c r="B32" s="32"/>
      <c r="C32" s="32"/>
      <c r="D32" s="32"/>
      <c r="E32" s="32"/>
      <c r="F32" s="32"/>
      <c r="G32" s="32"/>
      <c r="H32" s="33"/>
    </row>
    <row r="33" spans="1:8" x14ac:dyDescent="0.2">
      <c r="A33" s="34" t="s">
        <v>3260</v>
      </c>
      <c r="H33" s="35"/>
    </row>
    <row r="34" spans="1:8" x14ac:dyDescent="0.2">
      <c r="A34" s="34" t="s">
        <v>3261</v>
      </c>
      <c r="H34" s="35"/>
    </row>
    <row r="35" spans="1:8" x14ac:dyDescent="0.2">
      <c r="A35" s="34"/>
      <c r="H35" s="35"/>
    </row>
    <row r="36" spans="1:8" x14ac:dyDescent="0.2">
      <c r="A36" s="34" t="s">
        <v>3262</v>
      </c>
      <c r="H36" s="35"/>
    </row>
    <row r="37" spans="1:8" ht="17" thickBot="1" x14ac:dyDescent="0.25">
      <c r="A37" s="36" t="s">
        <v>3263</v>
      </c>
      <c r="B37" s="37"/>
      <c r="C37" s="37"/>
      <c r="D37" s="37"/>
      <c r="E37" s="37"/>
      <c r="F37" s="37"/>
      <c r="G37" s="37"/>
      <c r="H37" s="38"/>
    </row>
    <row r="38" spans="1:8" ht="17" thickBot="1" x14ac:dyDescent="0.25"/>
    <row r="39" spans="1:8" x14ac:dyDescent="0.2">
      <c r="A39" s="46" t="s">
        <v>2008</v>
      </c>
      <c r="B39" s="32"/>
      <c r="C39" s="32"/>
      <c r="D39" s="32"/>
      <c r="E39" s="32"/>
      <c r="F39" s="32"/>
      <c r="G39" s="32"/>
      <c r="H39" s="33"/>
    </row>
    <row r="40" spans="1:8" x14ac:dyDescent="0.2">
      <c r="A40" s="34" t="s">
        <v>2009</v>
      </c>
      <c r="H40" s="35"/>
    </row>
    <row r="41" spans="1:8" ht="17" thickBot="1" x14ac:dyDescent="0.25">
      <c r="A41" s="36" t="s">
        <v>3264</v>
      </c>
      <c r="B41" s="37"/>
      <c r="C41" s="37"/>
      <c r="D41" s="37"/>
      <c r="E41" s="37"/>
      <c r="F41" s="37"/>
      <c r="G41" s="37"/>
      <c r="H41" s="38"/>
    </row>
    <row r="43" spans="1:8" x14ac:dyDescent="0.2">
      <c r="A43" s="130" t="s">
        <v>2010</v>
      </c>
      <c r="B43" s="130"/>
      <c r="C43" s="130"/>
      <c r="D43" s="130"/>
      <c r="E43" s="130"/>
      <c r="F43" s="130"/>
      <c r="G43" s="130"/>
      <c r="H43" s="130"/>
    </row>
    <row r="44" spans="1:8" x14ac:dyDescent="0.2">
      <c r="A44" s="1" t="s">
        <v>2011</v>
      </c>
    </row>
    <row r="45" spans="1:8" x14ac:dyDescent="0.2">
      <c r="A45" s="1" t="s">
        <v>2012</v>
      </c>
    </row>
    <row r="46" spans="1:8" x14ac:dyDescent="0.2">
      <c r="A46" s="1" t="s">
        <v>2013</v>
      </c>
    </row>
    <row r="47" spans="1:8" x14ac:dyDescent="0.2">
      <c r="A47" s="1" t="s">
        <v>2014</v>
      </c>
    </row>
    <row r="48" spans="1:8" x14ac:dyDescent="0.2">
      <c r="A48" s="1" t="s">
        <v>2015</v>
      </c>
    </row>
    <row r="49" spans="1:8" x14ac:dyDescent="0.2">
      <c r="A49" s="1" t="s">
        <v>2016</v>
      </c>
    </row>
    <row r="51" spans="1:8" x14ac:dyDescent="0.2">
      <c r="A51" s="130" t="s">
        <v>2017</v>
      </c>
      <c r="B51" s="130"/>
      <c r="C51" s="130"/>
      <c r="D51" s="130"/>
      <c r="E51" s="130"/>
      <c r="F51" s="130"/>
      <c r="G51" s="130"/>
      <c r="H51" s="130"/>
    </row>
    <row r="52" spans="1:8" x14ac:dyDescent="0.2">
      <c r="A52" s="1" t="s">
        <v>2018</v>
      </c>
    </row>
    <row r="53" spans="1:8" x14ac:dyDescent="0.2">
      <c r="A53" s="1" t="s">
        <v>2019</v>
      </c>
    </row>
    <row r="54" spans="1:8" x14ac:dyDescent="0.2">
      <c r="E54" s="158" t="s">
        <v>2020</v>
      </c>
    </row>
    <row r="56" spans="1:8" x14ac:dyDescent="0.2">
      <c r="A56" s="130" t="s">
        <v>2021</v>
      </c>
      <c r="B56" s="130"/>
      <c r="C56" s="130"/>
      <c r="D56" s="130"/>
      <c r="E56" s="130"/>
      <c r="F56" s="130"/>
      <c r="G56" s="130"/>
      <c r="H56" s="130"/>
    </row>
    <row r="57" spans="1:8" x14ac:dyDescent="0.2">
      <c r="A57" s="1" t="s">
        <v>2476</v>
      </c>
    </row>
    <row r="59" spans="1:8" x14ac:dyDescent="0.2">
      <c r="A59" s="1" t="s">
        <v>3609</v>
      </c>
    </row>
    <row r="61" spans="1:8" x14ac:dyDescent="0.2">
      <c r="A61" s="1" t="s">
        <v>3624</v>
      </c>
      <c r="F61" s="208"/>
      <c r="G61" s="1" t="s">
        <v>3610</v>
      </c>
    </row>
    <row r="62" spans="1:8" x14ac:dyDescent="0.2">
      <c r="F62" s="208"/>
      <c r="G62" s="1" t="s">
        <v>3611</v>
      </c>
    </row>
    <row r="63" spans="1:8" x14ac:dyDescent="0.2">
      <c r="F63" s="208"/>
      <c r="G63" s="1" t="s">
        <v>3612</v>
      </c>
    </row>
    <row r="64" spans="1:8" x14ac:dyDescent="0.2">
      <c r="F64" s="208"/>
      <c r="G64" s="1" t="s">
        <v>3613</v>
      </c>
    </row>
    <row r="65" spans="1:7" x14ac:dyDescent="0.2">
      <c r="F65" s="208"/>
      <c r="G65" s="1" t="s">
        <v>3614</v>
      </c>
    </row>
    <row r="66" spans="1:7" x14ac:dyDescent="0.2">
      <c r="F66" s="208"/>
      <c r="G66" s="1" t="s">
        <v>3615</v>
      </c>
    </row>
    <row r="67" spans="1:7" x14ac:dyDescent="0.2">
      <c r="F67" s="208"/>
      <c r="G67" s="1" t="s">
        <v>3616</v>
      </c>
    </row>
    <row r="68" spans="1:7" x14ac:dyDescent="0.2">
      <c r="F68" s="208"/>
      <c r="G68" s="1" t="s">
        <v>3617</v>
      </c>
    </row>
    <row r="69" spans="1:7" x14ac:dyDescent="0.2">
      <c r="F69" s="208"/>
      <c r="G69" s="1" t="s">
        <v>3618</v>
      </c>
    </row>
    <row r="70" spans="1:7" x14ac:dyDescent="0.2">
      <c r="F70" s="208"/>
      <c r="G70" s="1" t="s">
        <v>3619</v>
      </c>
    </row>
    <row r="71" spans="1:7" x14ac:dyDescent="0.2">
      <c r="F71" s="208"/>
      <c r="G71" s="1" t="s">
        <v>3620</v>
      </c>
    </row>
    <row r="72" spans="1:7" x14ac:dyDescent="0.2">
      <c r="F72" s="208"/>
      <c r="G72" s="1" t="s">
        <v>3621</v>
      </c>
    </row>
    <row r="73" spans="1:7" x14ac:dyDescent="0.2">
      <c r="F73" s="208"/>
      <c r="G73" s="1" t="s">
        <v>3622</v>
      </c>
    </row>
    <row r="74" spans="1:7" x14ac:dyDescent="0.2">
      <c r="F74" s="208"/>
      <c r="G74" s="1" t="s">
        <v>3623</v>
      </c>
    </row>
    <row r="76" spans="1:7" x14ac:dyDescent="0.2">
      <c r="A76" s="1" t="s">
        <v>3625</v>
      </c>
      <c r="F76" s="1" t="s">
        <v>3626</v>
      </c>
    </row>
    <row r="78" spans="1:7" x14ac:dyDescent="0.2">
      <c r="F78" s="1" t="s">
        <v>3627</v>
      </c>
    </row>
    <row r="79" spans="1:7" x14ac:dyDescent="0.2">
      <c r="F79" s="1" t="s">
        <v>3628</v>
      </c>
    </row>
    <row r="80" spans="1:7" x14ac:dyDescent="0.2">
      <c r="F80" s="1" t="s">
        <v>3629</v>
      </c>
    </row>
    <row r="81" spans="6:6" x14ac:dyDescent="0.2">
      <c r="F81" s="1" t="s">
        <v>3630</v>
      </c>
    </row>
    <row r="82" spans="6:6" x14ac:dyDescent="0.2">
      <c r="F82" s="1" t="s">
        <v>3631</v>
      </c>
    </row>
    <row r="84" spans="6:6" x14ac:dyDescent="0.2">
      <c r="F84" s="1" t="s">
        <v>3632</v>
      </c>
    </row>
    <row r="85" spans="6:6" x14ac:dyDescent="0.2">
      <c r="F85" s="1" t="s">
        <v>3633</v>
      </c>
    </row>
    <row r="86" spans="6:6" x14ac:dyDescent="0.2">
      <c r="F86" s="1" t="s">
        <v>3634</v>
      </c>
    </row>
    <row r="87" spans="6:6" x14ac:dyDescent="0.2">
      <c r="F87" s="1" t="s">
        <v>3635</v>
      </c>
    </row>
    <row r="88" spans="6:6" x14ac:dyDescent="0.2">
      <c r="F88" s="1" t="s">
        <v>3636</v>
      </c>
    </row>
    <row r="96" spans="6:6" x14ac:dyDescent="0.2">
      <c r="F96" s="1" t="s">
        <v>3637</v>
      </c>
    </row>
    <row r="97" spans="6:6" x14ac:dyDescent="0.2">
      <c r="F97" s="1" t="s">
        <v>3638</v>
      </c>
    </row>
    <row r="98" spans="6:6" x14ac:dyDescent="0.2">
      <c r="F98" s="1" t="s">
        <v>3639</v>
      </c>
    </row>
    <row r="99" spans="6:6" x14ac:dyDescent="0.2">
      <c r="F99" s="1" t="s">
        <v>3640</v>
      </c>
    </row>
    <row r="100" spans="6:6" x14ac:dyDescent="0.2">
      <c r="F100" s="1" t="s">
        <v>3641</v>
      </c>
    </row>
    <row r="107" spans="6:6" x14ac:dyDescent="0.2">
      <c r="F107" s="1" t="s">
        <v>3642</v>
      </c>
    </row>
    <row r="108" spans="6:6" x14ac:dyDescent="0.2">
      <c r="F108" s="1" t="s">
        <v>3643</v>
      </c>
    </row>
    <row r="109" spans="6:6" x14ac:dyDescent="0.2">
      <c r="F109" s="1" t="s">
        <v>3644</v>
      </c>
    </row>
    <row r="110" spans="6:6" x14ac:dyDescent="0.2">
      <c r="F110" s="1" t="s">
        <v>3645</v>
      </c>
    </row>
    <row r="111" spans="6:6" x14ac:dyDescent="0.2">
      <c r="F111" s="1" t="s">
        <v>3646</v>
      </c>
    </row>
    <row r="112" spans="6:6" x14ac:dyDescent="0.2">
      <c r="F112" s="1" t="s">
        <v>3647</v>
      </c>
    </row>
    <row r="113" spans="6:6" x14ac:dyDescent="0.2">
      <c r="F113" s="1" t="s">
        <v>3648</v>
      </c>
    </row>
    <row r="114" spans="6:6" x14ac:dyDescent="0.2">
      <c r="F114" s="1" t="s">
        <v>3649</v>
      </c>
    </row>
    <row r="119" spans="6:6" x14ac:dyDescent="0.2">
      <c r="F119" s="1" t="s">
        <v>3650</v>
      </c>
    </row>
    <row r="130" spans="1:7" x14ac:dyDescent="0.2">
      <c r="A130" s="1" t="s">
        <v>2120</v>
      </c>
    </row>
    <row r="132" spans="1:7" x14ac:dyDescent="0.2">
      <c r="G132" s="1" t="s">
        <v>2675</v>
      </c>
    </row>
    <row r="134" spans="1:7" x14ac:dyDescent="0.2">
      <c r="G134" s="1" t="s">
        <v>3651</v>
      </c>
    </row>
    <row r="135" spans="1:7" x14ac:dyDescent="0.2">
      <c r="G135" s="1" t="s">
        <v>3652</v>
      </c>
    </row>
    <row r="136" spans="1:7" x14ac:dyDescent="0.2">
      <c r="G136" s="1" t="s">
        <v>3653</v>
      </c>
    </row>
    <row r="137" spans="1:7" x14ac:dyDescent="0.2">
      <c r="G137" s="1" t="s">
        <v>3654</v>
      </c>
    </row>
    <row r="139" spans="1:7" x14ac:dyDescent="0.2">
      <c r="G139" s="1" t="s">
        <v>3655</v>
      </c>
    </row>
    <row r="140" spans="1:7" x14ac:dyDescent="0.2">
      <c r="G140" s="1" t="s">
        <v>3656</v>
      </c>
    </row>
    <row r="142" spans="1:7" x14ac:dyDescent="0.2">
      <c r="G142" s="1" t="s">
        <v>3657</v>
      </c>
    </row>
    <row r="143" spans="1:7" x14ac:dyDescent="0.2">
      <c r="G143" s="1" t="s">
        <v>3658</v>
      </c>
    </row>
    <row r="145" spans="1:7" x14ac:dyDescent="0.2">
      <c r="G145" s="1" t="s">
        <v>3659</v>
      </c>
    </row>
    <row r="146" spans="1:7" x14ac:dyDescent="0.2">
      <c r="G146" s="1" t="s">
        <v>3660</v>
      </c>
    </row>
    <row r="150" spans="1:7" x14ac:dyDescent="0.2">
      <c r="A150" s="1" t="s">
        <v>2133</v>
      </c>
    </row>
    <row r="153" spans="1:7" x14ac:dyDescent="0.2">
      <c r="G153" s="1" t="s">
        <v>2307</v>
      </c>
    </row>
    <row r="155" spans="1:7" x14ac:dyDescent="0.2">
      <c r="G155" s="1" t="s">
        <v>2838</v>
      </c>
    </row>
    <row r="157" spans="1:7" x14ac:dyDescent="0.2">
      <c r="G157" s="1" t="s">
        <v>3661</v>
      </c>
    </row>
    <row r="158" spans="1:7" x14ac:dyDescent="0.2">
      <c r="G158" s="1" t="s">
        <v>3662</v>
      </c>
    </row>
    <row r="159" spans="1:7" x14ac:dyDescent="0.2">
      <c r="G159" s="1" t="s">
        <v>3663</v>
      </c>
    </row>
    <row r="160" spans="1:7" x14ac:dyDescent="0.2">
      <c r="G160" s="1" t="s">
        <v>3664</v>
      </c>
    </row>
    <row r="162" spans="7:7" x14ac:dyDescent="0.2">
      <c r="G162" s="1" t="s">
        <v>3665</v>
      </c>
    </row>
    <row r="163" spans="7:7" x14ac:dyDescent="0.2">
      <c r="G163" s="1" t="s">
        <v>3666</v>
      </c>
    </row>
    <row r="164" spans="7:7" x14ac:dyDescent="0.2">
      <c r="G164" s="1" t="s">
        <v>3667</v>
      </c>
    </row>
    <row r="205" spans="1:8" x14ac:dyDescent="0.2">
      <c r="A205" s="149" t="s">
        <v>2146</v>
      </c>
      <c r="B205" s="150"/>
      <c r="C205" s="150"/>
      <c r="D205" s="150"/>
      <c r="E205" s="150"/>
      <c r="F205" s="150"/>
      <c r="G205" s="150"/>
      <c r="H205" s="150"/>
    </row>
    <row r="206" spans="1:8" x14ac:dyDescent="0.2">
      <c r="A206" s="1" t="s">
        <v>2147</v>
      </c>
    </row>
    <row r="207" spans="1:8" x14ac:dyDescent="0.2">
      <c r="A207" s="1" t="s">
        <v>2148</v>
      </c>
    </row>
    <row r="208" spans="1:8" x14ac:dyDescent="0.2">
      <c r="A208" s="1" t="s">
        <v>2149</v>
      </c>
    </row>
    <row r="213" spans="1:8" x14ac:dyDescent="0.2">
      <c r="A213" s="149" t="s">
        <v>2150</v>
      </c>
      <c r="B213" s="149"/>
      <c r="C213" s="149"/>
      <c r="D213" s="149"/>
      <c r="E213" s="149"/>
      <c r="F213" s="149"/>
      <c r="G213" s="149"/>
      <c r="H213" s="149"/>
    </row>
    <row r="214" spans="1:8" x14ac:dyDescent="0.2">
      <c r="A214" s="1" t="s">
        <v>2151</v>
      </c>
    </row>
    <row r="215" spans="1:8" x14ac:dyDescent="0.2">
      <c r="A215" s="1" t="s">
        <v>2152</v>
      </c>
    </row>
    <row r="216" spans="1:8" x14ac:dyDescent="0.2">
      <c r="A216" s="1" t="s">
        <v>3277</v>
      </c>
    </row>
    <row r="217" spans="1:8" x14ac:dyDescent="0.2">
      <c r="A217" s="1" t="s">
        <v>3276</v>
      </c>
    </row>
    <row r="218" spans="1:8" x14ac:dyDescent="0.2">
      <c r="A218" s="1" t="s">
        <v>3278</v>
      </c>
    </row>
    <row r="219" spans="1:8" x14ac:dyDescent="0.2">
      <c r="A219" s="1" t="s">
        <v>2153</v>
      </c>
    </row>
    <row r="220" spans="1:8" x14ac:dyDescent="0.2">
      <c r="A220" s="1" t="s">
        <v>2154</v>
      </c>
    </row>
    <row r="222" spans="1:8" x14ac:dyDescent="0.2">
      <c r="A222" s="1" t="s">
        <v>2155</v>
      </c>
    </row>
    <row r="223" spans="1:8" x14ac:dyDescent="0.2">
      <c r="A223" s="1" t="s">
        <v>2156</v>
      </c>
    </row>
    <row r="225" spans="1:1" x14ac:dyDescent="0.2">
      <c r="A225" s="1" t="s">
        <v>2157</v>
      </c>
    </row>
    <row r="226" spans="1:1" x14ac:dyDescent="0.2">
      <c r="A226" s="1" t="s">
        <v>2158</v>
      </c>
    </row>
    <row r="227" spans="1:1" x14ac:dyDescent="0.2">
      <c r="A227" s="1" t="s">
        <v>2159</v>
      </c>
    </row>
    <row r="228" spans="1:1" x14ac:dyDescent="0.2">
      <c r="A228" s="1" t="s">
        <v>2160</v>
      </c>
    </row>
    <row r="229" spans="1:1" x14ac:dyDescent="0.2">
      <c r="A229" s="1" t="s">
        <v>2161</v>
      </c>
    </row>
    <row r="230" spans="1:1" x14ac:dyDescent="0.2">
      <c r="A230" s="1" t="s">
        <v>2162</v>
      </c>
    </row>
    <row r="231" spans="1:1" x14ac:dyDescent="0.2">
      <c r="A231" s="1" t="s">
        <v>2163</v>
      </c>
    </row>
    <row r="232" spans="1:1" x14ac:dyDescent="0.2">
      <c r="A232" s="1" t="s">
        <v>2164</v>
      </c>
    </row>
    <row r="233" spans="1:1" s="62" customFormat="1" x14ac:dyDescent="0.2">
      <c r="A233" s="62" t="s">
        <v>2165</v>
      </c>
    </row>
    <row r="234" spans="1:1" s="62" customFormat="1" x14ac:dyDescent="0.2">
      <c r="A234" s="62" t="s">
        <v>2166</v>
      </c>
    </row>
    <row r="235" spans="1:1" s="62" customFormat="1" x14ac:dyDescent="0.2">
      <c r="A235" s="62" t="s">
        <v>2497</v>
      </c>
    </row>
    <row r="236" spans="1:1" s="62" customFormat="1" x14ac:dyDescent="0.2">
      <c r="A236" s="62" t="s">
        <v>2498</v>
      </c>
    </row>
    <row r="237" spans="1:1" x14ac:dyDescent="0.2">
      <c r="A237" s="1" t="s">
        <v>2168</v>
      </c>
    </row>
    <row r="238" spans="1:1" x14ac:dyDescent="0.2">
      <c r="A238" s="1" t="s">
        <v>2169</v>
      </c>
    </row>
    <row r="240" spans="1:1" x14ac:dyDescent="0.2">
      <c r="A240" s="1" t="s">
        <v>2170</v>
      </c>
    </row>
    <row r="241" spans="1:8" x14ac:dyDescent="0.2">
      <c r="A241" s="1" t="s">
        <v>2171</v>
      </c>
    </row>
    <row r="242" spans="1:8" x14ac:dyDescent="0.2">
      <c r="A242" s="1" t="s">
        <v>2172</v>
      </c>
    </row>
    <row r="243" spans="1:8" x14ac:dyDescent="0.2">
      <c r="A243" s="1" t="s">
        <v>2173</v>
      </c>
    </row>
    <row r="244" spans="1:8" x14ac:dyDescent="0.2">
      <c r="A244" s="1" t="s">
        <v>2174</v>
      </c>
    </row>
    <row r="245" spans="1:8" x14ac:dyDescent="0.2">
      <c r="A245" s="1" t="s">
        <v>2175</v>
      </c>
    </row>
    <row r="247" spans="1:8" x14ac:dyDescent="0.2">
      <c r="A247" s="130" t="s">
        <v>2176</v>
      </c>
      <c r="B247" s="130"/>
      <c r="C247" s="130"/>
      <c r="D247" s="130"/>
      <c r="E247" s="130"/>
      <c r="F247" s="130"/>
      <c r="G247" s="130"/>
      <c r="H247" s="130"/>
    </row>
    <row r="249" spans="1:8" x14ac:dyDescent="0.2">
      <c r="A249" s="130" t="s">
        <v>2033</v>
      </c>
      <c r="B249" s="130"/>
      <c r="C249" s="130"/>
      <c r="D249" s="130"/>
      <c r="E249" s="130"/>
      <c r="F249" s="130"/>
      <c r="G249" s="130"/>
      <c r="H249" s="130"/>
    </row>
    <row r="250" spans="1:8" x14ac:dyDescent="0.2">
      <c r="A250" s="1" t="s">
        <v>2177</v>
      </c>
    </row>
    <row r="251" spans="1:8" x14ac:dyDescent="0.2">
      <c r="A251" s="1" t="s">
        <v>2178</v>
      </c>
    </row>
    <row r="253" spans="1:8" x14ac:dyDescent="0.2">
      <c r="A253" s="130" t="s">
        <v>2039</v>
      </c>
      <c r="B253" s="130"/>
      <c r="C253" s="130" t="s">
        <v>2179</v>
      </c>
      <c r="D253" s="130"/>
      <c r="E253" s="130"/>
      <c r="F253" s="130"/>
      <c r="G253" s="130"/>
      <c r="H253" s="130"/>
    </row>
    <row r="254" spans="1:8" x14ac:dyDescent="0.2">
      <c r="A254" s="1" t="s">
        <v>2180</v>
      </c>
    </row>
    <row r="255" spans="1:8" x14ac:dyDescent="0.2">
      <c r="E255" s="10" t="s">
        <v>2181</v>
      </c>
      <c r="F255" s="10" t="s">
        <v>2182</v>
      </c>
    </row>
    <row r="256" spans="1:8" x14ac:dyDescent="0.2">
      <c r="A256" s="1" t="s">
        <v>2482</v>
      </c>
      <c r="B256" s="1" t="s">
        <v>2183</v>
      </c>
      <c r="E256" s="1">
        <v>100</v>
      </c>
    </row>
    <row r="257" spans="1:6" x14ac:dyDescent="0.2">
      <c r="A257" s="1" t="s">
        <v>2482</v>
      </c>
      <c r="B257" s="1" t="s">
        <v>2483</v>
      </c>
      <c r="E257" s="1">
        <v>70</v>
      </c>
      <c r="F257" s="1">
        <v>1.2</v>
      </c>
    </row>
    <row r="258" spans="1:6" x14ac:dyDescent="0.2">
      <c r="A258" s="1" t="s">
        <v>2482</v>
      </c>
      <c r="B258" s="1" t="s">
        <v>2484</v>
      </c>
      <c r="E258" s="1">
        <v>30</v>
      </c>
      <c r="F258" s="1">
        <v>1</v>
      </c>
    </row>
    <row r="260" spans="1:6" x14ac:dyDescent="0.2">
      <c r="A260" s="1" t="s">
        <v>3279</v>
      </c>
    </row>
    <row r="262" spans="1:6" x14ac:dyDescent="0.2">
      <c r="A262" s="1" t="s">
        <v>2185</v>
      </c>
    </row>
    <row r="263" spans="1:6" x14ac:dyDescent="0.2">
      <c r="A263" s="1" t="s">
        <v>2186</v>
      </c>
    </row>
    <row r="265" spans="1:6" x14ac:dyDescent="0.2">
      <c r="A265" s="1" t="s">
        <v>2187</v>
      </c>
    </row>
    <row r="266" spans="1:6" x14ac:dyDescent="0.2">
      <c r="A266" s="1" t="s">
        <v>2188</v>
      </c>
    </row>
    <row r="267" spans="1:6" x14ac:dyDescent="0.2">
      <c r="A267" s="1" t="s">
        <v>2189</v>
      </c>
    </row>
    <row r="269" spans="1:6" x14ac:dyDescent="0.2">
      <c r="A269" s="1" t="s">
        <v>2190</v>
      </c>
    </row>
    <row r="270" spans="1:6" x14ac:dyDescent="0.2">
      <c r="A270" s="1" t="s">
        <v>2191</v>
      </c>
    </row>
    <row r="271" spans="1:6" x14ac:dyDescent="0.2">
      <c r="D271" s="10" t="s">
        <v>2192</v>
      </c>
    </row>
    <row r="272" spans="1:6" x14ac:dyDescent="0.2">
      <c r="B272" s="1" t="s">
        <v>2193</v>
      </c>
      <c r="D272" s="1">
        <v>1</v>
      </c>
      <c r="E272" s="1" t="s">
        <v>3668</v>
      </c>
    </row>
    <row r="273" spans="1:8" x14ac:dyDescent="0.2">
      <c r="B273" s="1" t="s">
        <v>2194</v>
      </c>
      <c r="D273" s="1">
        <v>0.3</v>
      </c>
      <c r="E273" s="1" t="s">
        <v>3669</v>
      </c>
    </row>
    <row r="274" spans="1:8" x14ac:dyDescent="0.2">
      <c r="B274" s="1" t="s">
        <v>373</v>
      </c>
      <c r="D274" s="1">
        <f>D272+D273</f>
        <v>1.3</v>
      </c>
      <c r="E274" s="1" t="s">
        <v>3670</v>
      </c>
    </row>
    <row r="276" spans="1:8" x14ac:dyDescent="0.2">
      <c r="B276" s="1" t="s">
        <v>2486</v>
      </c>
      <c r="F276" s="190">
        <f>D273/D274</f>
        <v>0.23076923076923075</v>
      </c>
      <c r="G276" s="1" t="s">
        <v>2487</v>
      </c>
    </row>
    <row r="278" spans="1:8" x14ac:dyDescent="0.2">
      <c r="A278" s="1" t="s">
        <v>2195</v>
      </c>
    </row>
    <row r="279" spans="1:8" x14ac:dyDescent="0.2">
      <c r="A279" s="1" t="s">
        <v>2196</v>
      </c>
    </row>
    <row r="281" spans="1:8" x14ac:dyDescent="0.2">
      <c r="D281" s="10" t="s">
        <v>2192</v>
      </c>
    </row>
    <row r="282" spans="1:8" x14ac:dyDescent="0.2">
      <c r="A282" s="1" t="s">
        <v>2197</v>
      </c>
      <c r="B282" s="1" t="s">
        <v>2489</v>
      </c>
      <c r="D282" s="191">
        <f>D284-D283</f>
        <v>0.92307692307692313</v>
      </c>
    </row>
    <row r="283" spans="1:8" x14ac:dyDescent="0.2">
      <c r="A283" s="1" t="s">
        <v>2198</v>
      </c>
      <c r="B283" s="1" t="s">
        <v>2194</v>
      </c>
      <c r="D283" s="189">
        <f>F276*D284</f>
        <v>0.27692307692307688</v>
      </c>
      <c r="G283" s="1" t="s">
        <v>2488</v>
      </c>
    </row>
    <row r="284" spans="1:8" x14ac:dyDescent="0.2">
      <c r="B284" s="1" t="s">
        <v>2485</v>
      </c>
      <c r="D284" s="188">
        <v>1.2</v>
      </c>
    </row>
    <row r="285" spans="1:8" x14ac:dyDescent="0.2">
      <c r="D285" s="159"/>
      <c r="G285" s="1" t="s">
        <v>2199</v>
      </c>
      <c r="H285" s="1" t="s">
        <v>2200</v>
      </c>
    </row>
    <row r="286" spans="1:8" x14ac:dyDescent="0.2">
      <c r="A286" s="3" t="s">
        <v>2201</v>
      </c>
      <c r="D286" s="159"/>
      <c r="G286" s="1" t="s">
        <v>2202</v>
      </c>
      <c r="H286" s="1" t="s">
        <v>2203</v>
      </c>
    </row>
    <row r="287" spans="1:8" x14ac:dyDescent="0.2">
      <c r="A287" s="1" t="s">
        <v>3280</v>
      </c>
      <c r="D287" s="159"/>
      <c r="G287" s="1" t="s">
        <v>2204</v>
      </c>
      <c r="H287" s="1" t="s">
        <v>2205</v>
      </c>
    </row>
    <row r="288" spans="1:8" x14ac:dyDescent="0.2">
      <c r="A288" s="1" t="s">
        <v>3281</v>
      </c>
      <c r="G288" s="1" t="s">
        <v>2206</v>
      </c>
      <c r="H288" s="1" t="s">
        <v>2207</v>
      </c>
    </row>
    <row r="289" spans="1:7" x14ac:dyDescent="0.2">
      <c r="A289" s="1" t="s">
        <v>2208</v>
      </c>
      <c r="G289" s="1" t="s">
        <v>2209</v>
      </c>
    </row>
    <row r="290" spans="1:7" x14ac:dyDescent="0.2">
      <c r="A290" s="1" t="s">
        <v>3282</v>
      </c>
    </row>
    <row r="291" spans="1:7" x14ac:dyDescent="0.2">
      <c r="A291" s="1" t="s">
        <v>2210</v>
      </c>
    </row>
    <row r="292" spans="1:7" x14ac:dyDescent="0.2">
      <c r="A292" s="1" t="s">
        <v>2490</v>
      </c>
    </row>
    <row r="294" spans="1:7" x14ac:dyDescent="0.2">
      <c r="E294" s="10" t="s">
        <v>2181</v>
      </c>
      <c r="F294" s="10" t="s">
        <v>2211</v>
      </c>
    </row>
    <row r="295" spans="1:7" x14ac:dyDescent="0.2">
      <c r="B295" s="1" t="s">
        <v>2183</v>
      </c>
      <c r="E295" s="1">
        <v>100</v>
      </c>
    </row>
    <row r="296" spans="1:7" x14ac:dyDescent="0.2">
      <c r="B296" s="1" t="s">
        <v>2184</v>
      </c>
      <c r="E296" s="1">
        <v>70</v>
      </c>
      <c r="F296" s="160">
        <f>D282</f>
        <v>0.92307692307692313</v>
      </c>
    </row>
    <row r="297" spans="1:7" x14ac:dyDescent="0.2">
      <c r="B297" s="1" t="s">
        <v>2212</v>
      </c>
      <c r="E297" s="1">
        <v>30</v>
      </c>
      <c r="F297" s="1">
        <v>1</v>
      </c>
    </row>
    <row r="299" spans="1:7" x14ac:dyDescent="0.2">
      <c r="A299" s="1" t="s">
        <v>2213</v>
      </c>
      <c r="E299" s="161">
        <f>E296*F296+E297*F297</f>
        <v>94.615384615384613</v>
      </c>
      <c r="G299" s="1" t="s">
        <v>2214</v>
      </c>
    </row>
    <row r="301" spans="1:7" x14ac:dyDescent="0.2">
      <c r="A301" s="162" t="s">
        <v>2215</v>
      </c>
    </row>
    <row r="318" spans="1:1" x14ac:dyDescent="0.2">
      <c r="A318" s="1" t="s">
        <v>2216</v>
      </c>
    </row>
    <row r="319" spans="1:1" x14ac:dyDescent="0.2">
      <c r="A319" s="1" t="s">
        <v>2217</v>
      </c>
    </row>
    <row r="320" spans="1:1" x14ac:dyDescent="0.2">
      <c r="A320" s="1" t="s">
        <v>2218</v>
      </c>
    </row>
    <row r="322" spans="1:8" x14ac:dyDescent="0.2">
      <c r="A322" s="1" t="s">
        <v>2219</v>
      </c>
    </row>
    <row r="323" spans="1:8" x14ac:dyDescent="0.2">
      <c r="A323" s="1" t="s">
        <v>2220</v>
      </c>
    </row>
    <row r="324" spans="1:8" x14ac:dyDescent="0.2">
      <c r="A324" s="1" t="s">
        <v>2221</v>
      </c>
    </row>
    <row r="326" spans="1:8" x14ac:dyDescent="0.2">
      <c r="A326" s="130" t="s">
        <v>2093</v>
      </c>
      <c r="B326" s="130"/>
      <c r="C326" s="130"/>
      <c r="D326" s="130"/>
      <c r="E326" s="130"/>
      <c r="F326" s="130"/>
      <c r="G326" s="130"/>
      <c r="H326" s="130"/>
    </row>
    <row r="327" spans="1:8" x14ac:dyDescent="0.2">
      <c r="A327" s="1" t="s">
        <v>2222</v>
      </c>
    </row>
    <row r="328" spans="1:8" x14ac:dyDescent="0.2">
      <c r="A328" s="1" t="s">
        <v>2223</v>
      </c>
    </row>
    <row r="330" spans="1:8" x14ac:dyDescent="0.2">
      <c r="A330" s="130" t="s">
        <v>2224</v>
      </c>
      <c r="B330" s="130"/>
      <c r="C330" s="130" t="s">
        <v>2179</v>
      </c>
      <c r="D330" s="130"/>
      <c r="E330" s="130"/>
      <c r="F330" s="130"/>
      <c r="G330" s="130"/>
      <c r="H330" s="130"/>
    </row>
    <row r="331" spans="1:8" x14ac:dyDescent="0.2">
      <c r="A331" s="1" t="s">
        <v>2491</v>
      </c>
    </row>
    <row r="332" spans="1:8" x14ac:dyDescent="0.2">
      <c r="A332" s="1" t="s">
        <v>2225</v>
      </c>
    </row>
    <row r="333" spans="1:8" x14ac:dyDescent="0.2">
      <c r="A333" s="1" t="s">
        <v>2226</v>
      </c>
    </row>
    <row r="334" spans="1:8" x14ac:dyDescent="0.2">
      <c r="A334" s="1" t="s">
        <v>2227</v>
      </c>
    </row>
    <row r="336" spans="1:8" x14ac:dyDescent="0.2">
      <c r="A336" s="1" t="s">
        <v>2228</v>
      </c>
    </row>
    <row r="337" spans="1:7" x14ac:dyDescent="0.2">
      <c r="A337" s="1" t="s">
        <v>2229</v>
      </c>
    </row>
    <row r="338" spans="1:7" x14ac:dyDescent="0.2">
      <c r="A338" s="1" t="s">
        <v>2230</v>
      </c>
    </row>
    <row r="340" spans="1:7" x14ac:dyDescent="0.2">
      <c r="C340" s="10" t="s">
        <v>2231</v>
      </c>
      <c r="D340" s="10" t="s">
        <v>2232</v>
      </c>
      <c r="E340" s="10" t="s">
        <v>2233</v>
      </c>
      <c r="F340" s="10"/>
      <c r="G340" s="10"/>
    </row>
    <row r="341" spans="1:7" x14ac:dyDescent="0.2">
      <c r="A341" s="1" t="s">
        <v>2234</v>
      </c>
      <c r="C341" s="1">
        <v>100</v>
      </c>
      <c r="D341" s="1">
        <v>30</v>
      </c>
      <c r="E341" s="1">
        <f>C341*D341</f>
        <v>3000</v>
      </c>
    </row>
    <row r="342" spans="1:7" ht="17" thickBot="1" x14ac:dyDescent="0.25">
      <c r="A342" s="1" t="s">
        <v>2235</v>
      </c>
      <c r="C342" s="1">
        <v>277</v>
      </c>
      <c r="D342" s="1">
        <v>70</v>
      </c>
      <c r="E342" s="1">
        <f>C342*D342</f>
        <v>19390</v>
      </c>
    </row>
    <row r="343" spans="1:7" ht="17" thickBot="1" x14ac:dyDescent="0.25">
      <c r="A343" s="1" t="s">
        <v>2236</v>
      </c>
      <c r="E343" s="163">
        <f>E341+E342</f>
        <v>22390</v>
      </c>
    </row>
    <row r="345" spans="1:7" x14ac:dyDescent="0.2">
      <c r="A345" s="1" t="s">
        <v>2492</v>
      </c>
    </row>
    <row r="346" spans="1:7" x14ac:dyDescent="0.2">
      <c r="A346" s="1" t="s">
        <v>2493</v>
      </c>
    </row>
    <row r="347" spans="1:7" x14ac:dyDescent="0.2">
      <c r="A347" s="1" t="s">
        <v>2494</v>
      </c>
    </row>
    <row r="349" spans="1:7" x14ac:dyDescent="0.2">
      <c r="A349" s="1" t="s">
        <v>2495</v>
      </c>
    </row>
    <row r="350" spans="1:7" x14ac:dyDescent="0.2">
      <c r="A350" s="1" t="s">
        <v>2496</v>
      </c>
    </row>
    <row r="354" spans="1:8" x14ac:dyDescent="0.2">
      <c r="A354" s="130" t="s">
        <v>2108</v>
      </c>
      <c r="B354" s="130"/>
      <c r="C354" s="130"/>
      <c r="D354" s="130"/>
      <c r="E354" s="130"/>
      <c r="F354" s="130"/>
      <c r="G354" s="130"/>
      <c r="H354" s="130"/>
    </row>
    <row r="355" spans="1:8" x14ac:dyDescent="0.2">
      <c r="A355" s="1" t="s">
        <v>2237</v>
      </c>
    </row>
    <row r="356" spans="1:8" x14ac:dyDescent="0.2">
      <c r="A356" s="1" t="s">
        <v>2238</v>
      </c>
    </row>
    <row r="358" spans="1:8" x14ac:dyDescent="0.2">
      <c r="A358" s="130" t="s">
        <v>2113</v>
      </c>
      <c r="B358" s="130"/>
      <c r="C358" s="130" t="s">
        <v>2239</v>
      </c>
      <c r="D358" s="130"/>
      <c r="E358" s="130"/>
      <c r="F358" s="130"/>
      <c r="G358" s="130"/>
      <c r="H358" s="130"/>
    </row>
    <row r="359" spans="1:8" x14ac:dyDescent="0.2">
      <c r="A359" s="3" t="s">
        <v>2240</v>
      </c>
      <c r="B359" s="3"/>
      <c r="C359" s="3"/>
      <c r="D359" s="3"/>
      <c r="E359" s="3"/>
      <c r="F359" s="3"/>
      <c r="G359" s="3"/>
      <c r="H359" s="3"/>
    </row>
    <row r="360" spans="1:8" x14ac:dyDescent="0.2">
      <c r="A360" s="1" t="s">
        <v>2161</v>
      </c>
    </row>
    <row r="361" spans="1:8" x14ac:dyDescent="0.2">
      <c r="A361" s="1" t="s">
        <v>2162</v>
      </c>
    </row>
    <row r="362" spans="1:8" x14ac:dyDescent="0.2">
      <c r="A362" s="1" t="s">
        <v>2163</v>
      </c>
    </row>
    <row r="363" spans="1:8" x14ac:dyDescent="0.2">
      <c r="A363" s="1" t="s">
        <v>2164</v>
      </c>
    </row>
    <row r="364" spans="1:8" x14ac:dyDescent="0.2">
      <c r="A364" s="1" t="s">
        <v>2165</v>
      </c>
    </row>
    <row r="365" spans="1:8" x14ac:dyDescent="0.2">
      <c r="A365" s="1" t="s">
        <v>2166</v>
      </c>
    </row>
    <row r="366" spans="1:8" x14ac:dyDescent="0.2">
      <c r="A366" s="1" t="s">
        <v>2167</v>
      </c>
    </row>
    <row r="367" spans="1:8" x14ac:dyDescent="0.2">
      <c r="A367" s="1" t="s">
        <v>2241</v>
      </c>
    </row>
    <row r="368" spans="1:8" x14ac:dyDescent="0.2">
      <c r="A368" s="1" t="s">
        <v>2169</v>
      </c>
    </row>
    <row r="369" spans="1:8" ht="17" thickBot="1" x14ac:dyDescent="0.25"/>
    <row r="370" spans="1:8" x14ac:dyDescent="0.2">
      <c r="A370" s="46" t="s">
        <v>2242</v>
      </c>
      <c r="B370" s="32"/>
      <c r="C370" s="32"/>
      <c r="D370" s="32"/>
      <c r="E370" s="32"/>
      <c r="F370" s="32"/>
      <c r="G370" s="32"/>
      <c r="H370" s="33"/>
    </row>
    <row r="371" spans="1:8" x14ac:dyDescent="0.2">
      <c r="A371" s="34" t="s">
        <v>2243</v>
      </c>
      <c r="H371" s="35"/>
    </row>
    <row r="372" spans="1:8" x14ac:dyDescent="0.2">
      <c r="A372" s="34"/>
      <c r="H372" s="35"/>
    </row>
    <row r="373" spans="1:8" ht="17" thickBot="1" x14ac:dyDescent="0.25">
      <c r="A373" s="36" t="s">
        <v>2244</v>
      </c>
      <c r="B373" s="37"/>
      <c r="C373" s="37"/>
      <c r="D373" s="37"/>
      <c r="E373" s="37"/>
      <c r="F373" s="37"/>
      <c r="G373" s="37"/>
      <c r="H373" s="38"/>
    </row>
    <row r="375" spans="1:8" x14ac:dyDescent="0.2">
      <c r="A375" s="1" t="s">
        <v>2245</v>
      </c>
    </row>
    <row r="384" spans="1:8" x14ac:dyDescent="0.2">
      <c r="A384" s="3" t="s">
        <v>2246</v>
      </c>
      <c r="B384" s="3"/>
      <c r="C384" s="3"/>
      <c r="D384" s="3"/>
      <c r="E384" s="3"/>
      <c r="F384" s="3"/>
      <c r="G384" s="3"/>
      <c r="H384" s="3"/>
    </row>
    <row r="386" spans="1:8" x14ac:dyDescent="0.2">
      <c r="A386" s="1" t="s">
        <v>3284</v>
      </c>
      <c r="B386" s="11">
        <v>1000000</v>
      </c>
      <c r="D386" s="1" t="s">
        <v>3283</v>
      </c>
      <c r="F386" s="11">
        <v>1000000</v>
      </c>
    </row>
    <row r="388" spans="1:8" x14ac:dyDescent="0.2">
      <c r="A388" s="1" t="s">
        <v>3285</v>
      </c>
    </row>
    <row r="389" spans="1:8" x14ac:dyDescent="0.2">
      <c r="A389" s="1" t="s">
        <v>3286</v>
      </c>
    </row>
    <row r="390" spans="1:8" x14ac:dyDescent="0.2">
      <c r="A390" s="1" t="s">
        <v>3287</v>
      </c>
    </row>
    <row r="392" spans="1:8" x14ac:dyDescent="0.2">
      <c r="A392" s="1" t="s">
        <v>3288</v>
      </c>
    </row>
    <row r="393" spans="1:8" x14ac:dyDescent="0.2">
      <c r="A393" s="1" t="s">
        <v>3289</v>
      </c>
    </row>
    <row r="394" spans="1:8" x14ac:dyDescent="0.2">
      <c r="A394" s="1" t="s">
        <v>3290</v>
      </c>
    </row>
    <row r="395" spans="1:8" x14ac:dyDescent="0.2">
      <c r="A395" s="1" t="s">
        <v>3291</v>
      </c>
    </row>
    <row r="396" spans="1:8" x14ac:dyDescent="0.2">
      <c r="A396" s="1" t="s">
        <v>3292</v>
      </c>
    </row>
    <row r="398" spans="1:8" x14ac:dyDescent="0.2">
      <c r="A398" s="130" t="s">
        <v>2120</v>
      </c>
      <c r="B398" s="130"/>
      <c r="C398" s="130"/>
      <c r="D398" s="130"/>
      <c r="E398" s="130"/>
      <c r="F398" s="130"/>
      <c r="G398" s="130"/>
      <c r="H398" s="130"/>
    </row>
    <row r="399" spans="1:8" x14ac:dyDescent="0.2">
      <c r="A399" s="1" t="s">
        <v>2247</v>
      </c>
    </row>
    <row r="400" spans="1:8" x14ac:dyDescent="0.2">
      <c r="A400" s="1" t="s">
        <v>2248</v>
      </c>
    </row>
    <row r="402" spans="1:8" x14ac:dyDescent="0.2">
      <c r="A402" s="130" t="s">
        <v>2127</v>
      </c>
      <c r="B402" s="130" t="s">
        <v>2499</v>
      </c>
      <c r="C402" s="130"/>
      <c r="D402" s="130"/>
      <c r="E402" s="130"/>
      <c r="F402" s="130"/>
      <c r="G402" s="130"/>
      <c r="H402" s="130"/>
    </row>
    <row r="415" spans="1:8" x14ac:dyDescent="0.2">
      <c r="A415" s="1" t="s">
        <v>2249</v>
      </c>
    </row>
    <row r="416" spans="1:8" x14ac:dyDescent="0.2">
      <c r="A416" s="1" t="s">
        <v>2250</v>
      </c>
    </row>
    <row r="417" spans="1:8" x14ac:dyDescent="0.2">
      <c r="A417" s="3" t="s">
        <v>2251</v>
      </c>
      <c r="B417" s="3"/>
      <c r="C417" s="3"/>
      <c r="D417" s="3"/>
      <c r="E417" s="3"/>
      <c r="F417" s="3"/>
      <c r="G417" s="3"/>
      <c r="H417" s="3"/>
    </row>
    <row r="418" spans="1:8" x14ac:dyDescent="0.2">
      <c r="A418" s="3" t="s">
        <v>2252</v>
      </c>
      <c r="B418" s="3"/>
      <c r="C418" s="3"/>
      <c r="D418" s="3"/>
      <c r="E418" s="3"/>
      <c r="F418" s="3"/>
      <c r="G418" s="3"/>
      <c r="H418" s="3"/>
    </row>
  </sheetData>
  <mergeCells count="1">
    <mergeCell ref="A1:H1"/>
  </mergeCells>
  <hyperlinks>
    <hyperlink ref="E54" r:id="rId1" xr:uid="{A148AAEE-0267-D044-AFD7-73895BE32F0B}"/>
  </hyperlinks>
  <pageMargins left="0.7" right="0.7" top="0.75" bottom="0.75" header="0.3" footer="0.3"/>
  <pageSetup paperSize="9" orientation="portrait"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569652-4CDA-504F-BA6A-1FB7648C5F63}">
  <dimension ref="A1:H394"/>
  <sheetViews>
    <sheetView rightToLeft="1" view="pageBreakPreview" topLeftCell="A383" zoomScale="125" zoomScaleNormal="200" workbookViewId="0">
      <selection activeCell="H195" sqref="H195"/>
    </sheetView>
  </sheetViews>
  <sheetFormatPr baseColWidth="10" defaultRowHeight="16" x14ac:dyDescent="0.2"/>
  <cols>
    <col min="1" max="3" width="10.83203125" style="1"/>
    <col min="4" max="4" width="15.6640625" style="1" bestFit="1" customWidth="1"/>
    <col min="5" max="16384" width="10.83203125" style="1"/>
  </cols>
  <sheetData>
    <row r="1" spans="1:8" x14ac:dyDescent="0.2">
      <c r="A1" s="359" t="s">
        <v>2477</v>
      </c>
      <c r="B1" s="359"/>
      <c r="C1" s="359"/>
      <c r="D1" s="359"/>
      <c r="E1" s="359"/>
      <c r="F1" s="359"/>
      <c r="G1" s="359"/>
      <c r="H1" s="359"/>
    </row>
    <row r="3" spans="1:8" ht="17" thickBot="1" x14ac:dyDescent="0.25">
      <c r="A3" s="149" t="s">
        <v>2022</v>
      </c>
      <c r="B3" s="149"/>
      <c r="C3" s="149"/>
      <c r="D3" s="149"/>
      <c r="E3" s="149"/>
      <c r="F3" s="149"/>
      <c r="G3" s="149"/>
      <c r="H3" s="149"/>
    </row>
    <row r="4" spans="1:8" x14ac:dyDescent="0.2">
      <c r="A4" s="46" t="s">
        <v>2023</v>
      </c>
      <c r="B4" s="32"/>
      <c r="C4" s="32"/>
      <c r="D4" s="32"/>
      <c r="E4" s="32"/>
      <c r="F4" s="32"/>
      <c r="G4" s="32"/>
      <c r="H4" s="33"/>
    </row>
    <row r="5" spans="1:8" ht="17" thickBot="1" x14ac:dyDescent="0.25">
      <c r="A5" s="36" t="s">
        <v>2024</v>
      </c>
      <c r="B5" s="37"/>
      <c r="C5" s="37"/>
      <c r="D5" s="37"/>
      <c r="E5" s="37"/>
      <c r="F5" s="37"/>
      <c r="G5" s="37"/>
      <c r="H5" s="38"/>
    </row>
    <row r="6" spans="1:8" x14ac:dyDescent="0.2">
      <c r="A6" s="46" t="s">
        <v>2025</v>
      </c>
      <c r="B6" s="32"/>
      <c r="C6" s="32"/>
      <c r="D6" s="32"/>
      <c r="E6" s="32"/>
      <c r="F6" s="32"/>
      <c r="G6" s="32"/>
      <c r="H6" s="33"/>
    </row>
    <row r="7" spans="1:8" ht="17" thickBot="1" x14ac:dyDescent="0.25">
      <c r="A7" s="36" t="s">
        <v>2026</v>
      </c>
      <c r="B7" s="37"/>
      <c r="C7" s="37"/>
      <c r="D7" s="37"/>
      <c r="E7" s="37"/>
      <c r="F7" s="37"/>
      <c r="G7" s="37"/>
      <c r="H7" s="38"/>
    </row>
    <row r="8" spans="1:8" x14ac:dyDescent="0.2">
      <c r="A8" s="46" t="s">
        <v>2027</v>
      </c>
      <c r="B8" s="32"/>
      <c r="C8" s="32"/>
      <c r="D8" s="32"/>
      <c r="E8" s="32"/>
      <c r="F8" s="32"/>
      <c r="G8" s="32"/>
      <c r="H8" s="33"/>
    </row>
    <row r="9" spans="1:8" x14ac:dyDescent="0.2">
      <c r="A9" s="34" t="s">
        <v>2028</v>
      </c>
      <c r="H9" s="35"/>
    </row>
    <row r="10" spans="1:8" ht="17" thickBot="1" x14ac:dyDescent="0.25">
      <c r="A10" s="36" t="s">
        <v>2029</v>
      </c>
      <c r="B10" s="37"/>
      <c r="C10" s="37"/>
      <c r="D10" s="37"/>
      <c r="E10" s="37"/>
      <c r="F10" s="37"/>
      <c r="G10" s="37"/>
      <c r="H10" s="38"/>
    </row>
    <row r="12" spans="1:8" x14ac:dyDescent="0.2">
      <c r="A12" s="149" t="s">
        <v>2030</v>
      </c>
      <c r="B12" s="150"/>
      <c r="C12" s="150"/>
      <c r="D12" s="150"/>
      <c r="E12" s="150"/>
      <c r="F12" s="150"/>
      <c r="G12" s="150"/>
      <c r="H12" s="150"/>
    </row>
    <row r="13" spans="1:8" x14ac:dyDescent="0.2">
      <c r="A13" s="1" t="s">
        <v>2031</v>
      </c>
    </row>
    <row r="14" spans="1:8" x14ac:dyDescent="0.2">
      <c r="A14" s="1" t="s">
        <v>2032</v>
      </c>
    </row>
    <row r="15" spans="1:8" x14ac:dyDescent="0.2">
      <c r="F15" s="158" t="s">
        <v>2020</v>
      </c>
    </row>
    <row r="18" spans="1:8" x14ac:dyDescent="0.2">
      <c r="A18" s="149" t="s">
        <v>2033</v>
      </c>
      <c r="B18" s="150"/>
      <c r="C18" s="150"/>
      <c r="D18" s="150"/>
      <c r="E18" s="150"/>
      <c r="F18" s="150"/>
      <c r="G18" s="150"/>
      <c r="H18" s="150"/>
    </row>
    <row r="19" spans="1:8" x14ac:dyDescent="0.2">
      <c r="A19" s="1" t="s">
        <v>2479</v>
      </c>
    </row>
    <row r="20" spans="1:8" x14ac:dyDescent="0.2">
      <c r="A20" s="1" t="s">
        <v>2034</v>
      </c>
    </row>
    <row r="21" spans="1:8" x14ac:dyDescent="0.2">
      <c r="A21" s="1" t="s">
        <v>2035</v>
      </c>
    </row>
    <row r="22" spans="1:8" x14ac:dyDescent="0.2">
      <c r="A22" s="1" t="s">
        <v>2036</v>
      </c>
    </row>
    <row r="23" spans="1:8" x14ac:dyDescent="0.2">
      <c r="A23" s="1" t="s">
        <v>2037</v>
      </c>
    </row>
    <row r="24" spans="1:8" x14ac:dyDescent="0.2">
      <c r="A24" s="1" t="s">
        <v>2038</v>
      </c>
    </row>
    <row r="26" spans="1:8" x14ac:dyDescent="0.2">
      <c r="A26" s="149" t="s">
        <v>2039</v>
      </c>
      <c r="B26" s="150"/>
      <c r="C26" s="150"/>
      <c r="D26" s="150"/>
      <c r="E26" s="150"/>
      <c r="F26" s="150"/>
      <c r="G26" s="150"/>
      <c r="H26" s="150"/>
    </row>
    <row r="27" spans="1:8" x14ac:dyDescent="0.2">
      <c r="A27" s="3" t="s">
        <v>2040</v>
      </c>
    </row>
    <row r="34" spans="1:1" x14ac:dyDescent="0.2">
      <c r="A34" s="1" t="s">
        <v>2041</v>
      </c>
    </row>
    <row r="35" spans="1:1" x14ac:dyDescent="0.2">
      <c r="A35" s="1" t="s">
        <v>2042</v>
      </c>
    </row>
    <row r="36" spans="1:1" x14ac:dyDescent="0.2">
      <c r="A36" s="1" t="s">
        <v>2043</v>
      </c>
    </row>
    <row r="38" spans="1:1" x14ac:dyDescent="0.2">
      <c r="A38" s="1" t="s">
        <v>2044</v>
      </c>
    </row>
    <row r="39" spans="1:1" x14ac:dyDescent="0.2">
      <c r="A39" s="1" t="s">
        <v>2045</v>
      </c>
    </row>
    <row r="40" spans="1:1" x14ac:dyDescent="0.2">
      <c r="A40" s="1" t="s">
        <v>2046</v>
      </c>
    </row>
    <row r="42" spans="1:1" x14ac:dyDescent="0.2">
      <c r="A42" s="1" t="s">
        <v>2047</v>
      </c>
    </row>
    <row r="43" spans="1:1" x14ac:dyDescent="0.2">
      <c r="A43" s="1" t="s">
        <v>2048</v>
      </c>
    </row>
    <row r="53" spans="1:8" x14ac:dyDescent="0.2">
      <c r="A53" s="1" t="s">
        <v>2049</v>
      </c>
    </row>
    <row r="54" spans="1:8" x14ac:dyDescent="0.2">
      <c r="A54" s="1" t="s">
        <v>2050</v>
      </c>
    </row>
    <row r="57" spans="1:8" x14ac:dyDescent="0.2">
      <c r="A57" s="1" t="s">
        <v>2051</v>
      </c>
    </row>
    <row r="58" spans="1:8" x14ac:dyDescent="0.2">
      <c r="A58" s="1" t="s">
        <v>2052</v>
      </c>
      <c r="B58" s="3" t="s">
        <v>2053</v>
      </c>
      <c r="C58" s="3" t="s">
        <v>1323</v>
      </c>
      <c r="E58" s="1" t="s">
        <v>2054</v>
      </c>
      <c r="G58" s="187" t="s">
        <v>2054</v>
      </c>
      <c r="H58" s="187"/>
    </row>
    <row r="59" spans="1:8" x14ac:dyDescent="0.2">
      <c r="B59" s="1" t="s">
        <v>2055</v>
      </c>
      <c r="C59" s="1" t="s">
        <v>2056</v>
      </c>
      <c r="E59" s="5" t="s">
        <v>2057</v>
      </c>
      <c r="F59" s="5"/>
      <c r="G59" s="187" t="s">
        <v>2058</v>
      </c>
      <c r="H59" s="187"/>
    </row>
    <row r="60" spans="1:8" x14ac:dyDescent="0.2">
      <c r="B60" s="1" t="s">
        <v>2059</v>
      </c>
      <c r="C60" s="1" t="s">
        <v>2060</v>
      </c>
      <c r="E60" s="5" t="s">
        <v>2480</v>
      </c>
      <c r="F60" s="5"/>
      <c r="G60" s="187" t="s">
        <v>2061</v>
      </c>
      <c r="H60" s="187"/>
    </row>
    <row r="61" spans="1:8" x14ac:dyDescent="0.2">
      <c r="B61" s="1" t="s">
        <v>2062</v>
      </c>
      <c r="C61" s="1" t="s">
        <v>2063</v>
      </c>
      <c r="E61" s="5" t="s">
        <v>2064</v>
      </c>
      <c r="F61" s="5"/>
      <c r="G61" s="23" t="s">
        <v>2065</v>
      </c>
      <c r="H61" s="23"/>
    </row>
    <row r="62" spans="1:8" x14ac:dyDescent="0.2">
      <c r="B62" s="1" t="s">
        <v>2066</v>
      </c>
      <c r="C62" s="1" t="s">
        <v>2067</v>
      </c>
      <c r="E62" s="5" t="s">
        <v>2068</v>
      </c>
      <c r="F62" s="5"/>
      <c r="G62" s="23" t="s">
        <v>2069</v>
      </c>
      <c r="H62" s="23"/>
    </row>
    <row r="63" spans="1:8" x14ac:dyDescent="0.2">
      <c r="B63" s="1" t="s">
        <v>2070</v>
      </c>
      <c r="C63" s="1" t="s">
        <v>2071</v>
      </c>
      <c r="E63" s="5" t="s">
        <v>2481</v>
      </c>
      <c r="F63" s="5"/>
    </row>
    <row r="64" spans="1:8" x14ac:dyDescent="0.2">
      <c r="B64" s="1" t="s">
        <v>2072</v>
      </c>
      <c r="C64" s="1" t="s">
        <v>2073</v>
      </c>
      <c r="E64" s="186" t="s">
        <v>2074</v>
      </c>
      <c r="F64" s="186"/>
      <c r="G64" s="1" t="s">
        <v>2075</v>
      </c>
    </row>
    <row r="65" spans="1:8" x14ac:dyDescent="0.2">
      <c r="C65" s="1" t="s">
        <v>2076</v>
      </c>
      <c r="E65" s="186" t="s">
        <v>2077</v>
      </c>
      <c r="F65" s="186"/>
      <c r="G65" s="1" t="s">
        <v>2078</v>
      </c>
    </row>
    <row r="66" spans="1:8" x14ac:dyDescent="0.2">
      <c r="B66" s="3" t="s">
        <v>2079</v>
      </c>
      <c r="C66" s="1" t="s">
        <v>2080</v>
      </c>
      <c r="E66" s="186" t="s">
        <v>2081</v>
      </c>
      <c r="F66" s="186"/>
    </row>
    <row r="67" spans="1:8" x14ac:dyDescent="0.2">
      <c r="B67" s="1" t="s">
        <v>2082</v>
      </c>
      <c r="C67" s="1" t="s">
        <v>2083</v>
      </c>
      <c r="E67" s="186" t="s">
        <v>2084</v>
      </c>
      <c r="F67" s="186"/>
    </row>
    <row r="68" spans="1:8" x14ac:dyDescent="0.2">
      <c r="B68" s="1" t="s">
        <v>2085</v>
      </c>
    </row>
    <row r="69" spans="1:8" x14ac:dyDescent="0.2">
      <c r="B69" s="9" t="s">
        <v>2086</v>
      </c>
      <c r="C69" s="8" t="s">
        <v>2087</v>
      </c>
      <c r="E69" s="1" t="s">
        <v>2088</v>
      </c>
    </row>
    <row r="70" spans="1:8" x14ac:dyDescent="0.2">
      <c r="C70" s="1" t="s">
        <v>2089</v>
      </c>
      <c r="E70" s="1" t="s">
        <v>2090</v>
      </c>
    </row>
    <row r="73" spans="1:8" x14ac:dyDescent="0.2">
      <c r="C73" s="1" t="s">
        <v>2091</v>
      </c>
    </row>
    <row r="74" spans="1:8" x14ac:dyDescent="0.2">
      <c r="C74" s="1" t="s">
        <v>2092</v>
      </c>
    </row>
    <row r="80" spans="1:8" x14ac:dyDescent="0.2">
      <c r="A80" s="149" t="s">
        <v>2093</v>
      </c>
      <c r="B80" s="150"/>
      <c r="C80" s="150"/>
      <c r="D80" s="150"/>
      <c r="E80" s="150"/>
      <c r="F80" s="150"/>
      <c r="G80" s="150"/>
      <c r="H80" s="150"/>
    </row>
    <row r="81" spans="1:8" x14ac:dyDescent="0.2">
      <c r="A81" s="1" t="s">
        <v>2094</v>
      </c>
    </row>
    <row r="82" spans="1:8" x14ac:dyDescent="0.2">
      <c r="A82" s="1" t="s">
        <v>2095</v>
      </c>
    </row>
    <row r="83" spans="1:8" x14ac:dyDescent="0.2">
      <c r="A83" s="1" t="s">
        <v>2096</v>
      </c>
    </row>
    <row r="84" spans="1:8" x14ac:dyDescent="0.2">
      <c r="A84" s="1" t="s">
        <v>2097</v>
      </c>
    </row>
    <row r="85" spans="1:8" x14ac:dyDescent="0.2">
      <c r="A85" s="1" t="s">
        <v>2098</v>
      </c>
    </row>
    <row r="86" spans="1:8" x14ac:dyDescent="0.2">
      <c r="A86" s="1" t="s">
        <v>2099</v>
      </c>
    </row>
    <row r="88" spans="1:8" x14ac:dyDescent="0.2">
      <c r="A88" s="149" t="s">
        <v>2100</v>
      </c>
      <c r="B88" s="150"/>
      <c r="C88" s="150"/>
      <c r="D88" s="150"/>
      <c r="E88" s="150"/>
      <c r="F88" s="150"/>
      <c r="G88" s="150"/>
      <c r="H88" s="150"/>
    </row>
    <row r="89" spans="1:8" x14ac:dyDescent="0.2">
      <c r="A89" s="1" t="s">
        <v>2101</v>
      </c>
    </row>
    <row r="90" spans="1:8" x14ac:dyDescent="0.2">
      <c r="A90" s="1" t="s">
        <v>2102</v>
      </c>
    </row>
    <row r="91" spans="1:8" x14ac:dyDescent="0.2">
      <c r="A91" s="1" t="s">
        <v>2103</v>
      </c>
    </row>
    <row r="92" spans="1:8" x14ac:dyDescent="0.2">
      <c r="A92" s="1" t="s">
        <v>2104</v>
      </c>
    </row>
    <row r="93" spans="1:8" x14ac:dyDescent="0.2">
      <c r="A93" s="1" t="s">
        <v>2105</v>
      </c>
    </row>
    <row r="95" spans="1:8" x14ac:dyDescent="0.2">
      <c r="A95" s="1" t="s">
        <v>2106</v>
      </c>
    </row>
    <row r="96" spans="1:8" x14ac:dyDescent="0.2">
      <c r="A96" s="1" t="s">
        <v>2107</v>
      </c>
    </row>
    <row r="101" spans="1:8" x14ac:dyDescent="0.2">
      <c r="A101" s="149" t="s">
        <v>2108</v>
      </c>
      <c r="B101" s="150"/>
      <c r="C101" s="150"/>
      <c r="D101" s="150"/>
      <c r="E101" s="150"/>
      <c r="F101" s="150"/>
      <c r="G101" s="150"/>
      <c r="H101" s="150"/>
    </row>
    <row r="102" spans="1:8" x14ac:dyDescent="0.2">
      <c r="A102" s="1" t="s">
        <v>2109</v>
      </c>
    </row>
    <row r="103" spans="1:8" x14ac:dyDescent="0.2">
      <c r="A103" s="1" t="s">
        <v>2110</v>
      </c>
    </row>
    <row r="104" spans="1:8" x14ac:dyDescent="0.2">
      <c r="A104" s="1" t="s">
        <v>3265</v>
      </c>
    </row>
    <row r="105" spans="1:8" x14ac:dyDescent="0.2">
      <c r="A105" s="1" t="s">
        <v>3266</v>
      </c>
    </row>
    <row r="106" spans="1:8" x14ac:dyDescent="0.2">
      <c r="A106" s="1" t="s">
        <v>2111</v>
      </c>
    </row>
    <row r="107" spans="1:8" x14ac:dyDescent="0.2">
      <c r="A107" s="1" t="s">
        <v>2112</v>
      </c>
    </row>
    <row r="110" spans="1:8" x14ac:dyDescent="0.2">
      <c r="A110" s="149" t="s">
        <v>2113</v>
      </c>
      <c r="B110" s="150"/>
      <c r="C110" s="150"/>
      <c r="D110" s="150"/>
      <c r="E110" s="150"/>
      <c r="F110" s="150"/>
      <c r="G110" s="150"/>
      <c r="H110" s="150"/>
    </row>
    <row r="112" spans="1:8" x14ac:dyDescent="0.2">
      <c r="A112" s="1" t="s">
        <v>2114</v>
      </c>
    </row>
    <row r="114" spans="1:1" x14ac:dyDescent="0.2">
      <c r="A114" s="1" t="s">
        <v>2115</v>
      </c>
    </row>
    <row r="115" spans="1:1" x14ac:dyDescent="0.2">
      <c r="A115" s="1" t="s">
        <v>2116</v>
      </c>
    </row>
    <row r="117" spans="1:1" x14ac:dyDescent="0.2">
      <c r="A117" s="1" t="s">
        <v>2117</v>
      </c>
    </row>
    <row r="118" spans="1:1" x14ac:dyDescent="0.2">
      <c r="A118" s="1" t="s">
        <v>2118</v>
      </c>
    </row>
    <row r="128" spans="1:1" x14ac:dyDescent="0.2">
      <c r="A128" s="3" t="s">
        <v>2119</v>
      </c>
    </row>
    <row r="131" spans="1:8" x14ac:dyDescent="0.2">
      <c r="A131" s="149" t="s">
        <v>2120</v>
      </c>
      <c r="B131" s="150"/>
      <c r="C131" s="150"/>
      <c r="D131" s="150"/>
      <c r="E131" s="150"/>
      <c r="F131" s="150"/>
      <c r="G131" s="150"/>
      <c r="H131" s="150"/>
    </row>
    <row r="132" spans="1:8" x14ac:dyDescent="0.2">
      <c r="A132" s="1" t="s">
        <v>2121</v>
      </c>
    </row>
    <row r="133" spans="1:8" x14ac:dyDescent="0.2">
      <c r="A133" s="1" t="s">
        <v>2122</v>
      </c>
    </row>
    <row r="134" spans="1:8" x14ac:dyDescent="0.2">
      <c r="A134" s="1" t="s">
        <v>2123</v>
      </c>
    </row>
    <row r="135" spans="1:8" x14ac:dyDescent="0.2">
      <c r="A135" s="1" t="s">
        <v>2124</v>
      </c>
    </row>
    <row r="136" spans="1:8" x14ac:dyDescent="0.2">
      <c r="A136" s="1" t="s">
        <v>2125</v>
      </c>
    </row>
    <row r="137" spans="1:8" x14ac:dyDescent="0.2">
      <c r="A137" s="1" t="s">
        <v>2126</v>
      </c>
    </row>
    <row r="139" spans="1:8" x14ac:dyDescent="0.2">
      <c r="A139" s="149" t="s">
        <v>2127</v>
      </c>
      <c r="B139" s="150"/>
      <c r="C139" s="150"/>
      <c r="D139" s="150"/>
      <c r="E139" s="150"/>
      <c r="F139" s="150"/>
      <c r="G139" s="150"/>
      <c r="H139" s="150"/>
    </row>
    <row r="140" spans="1:8" x14ac:dyDescent="0.2">
      <c r="A140" s="1" t="s">
        <v>2128</v>
      </c>
    </row>
    <row r="142" spans="1:8" x14ac:dyDescent="0.2">
      <c r="A142" s="1" t="s">
        <v>2129</v>
      </c>
    </row>
    <row r="143" spans="1:8" x14ac:dyDescent="0.2">
      <c r="A143" s="1" t="s">
        <v>2130</v>
      </c>
    </row>
    <row r="145" spans="1:8" x14ac:dyDescent="0.2">
      <c r="A145" s="1" t="s">
        <v>2131</v>
      </c>
    </row>
    <row r="147" spans="1:8" x14ac:dyDescent="0.2">
      <c r="A147" s="1" t="s">
        <v>2132</v>
      </c>
    </row>
    <row r="149" spans="1:8" x14ac:dyDescent="0.2">
      <c r="A149" s="149" t="s">
        <v>2133</v>
      </c>
      <c r="B149" s="150"/>
      <c r="C149" s="150"/>
      <c r="D149" s="150"/>
      <c r="E149" s="150"/>
      <c r="F149" s="150"/>
      <c r="G149" s="150"/>
      <c r="H149" s="150"/>
    </row>
    <row r="150" spans="1:8" x14ac:dyDescent="0.2">
      <c r="A150" s="1" t="s">
        <v>2134</v>
      </c>
    </row>
    <row r="151" spans="1:8" x14ac:dyDescent="0.2">
      <c r="A151" s="1" t="s">
        <v>2135</v>
      </c>
    </row>
    <row r="152" spans="1:8" x14ac:dyDescent="0.2">
      <c r="A152" s="1" t="s">
        <v>2136</v>
      </c>
    </row>
    <row r="153" spans="1:8" x14ac:dyDescent="0.2">
      <c r="A153" s="1" t="s">
        <v>2137</v>
      </c>
    </row>
    <row r="154" spans="1:8" x14ac:dyDescent="0.2">
      <c r="A154" s="136" t="s">
        <v>2138</v>
      </c>
    </row>
    <row r="155" spans="1:8" x14ac:dyDescent="0.2">
      <c r="A155" s="1" t="s">
        <v>2139</v>
      </c>
    </row>
    <row r="157" spans="1:8" x14ac:dyDescent="0.2">
      <c r="A157" s="149" t="s">
        <v>2140</v>
      </c>
      <c r="B157" s="150"/>
      <c r="C157" s="150"/>
      <c r="D157" s="150"/>
      <c r="E157" s="150"/>
      <c r="F157" s="150"/>
      <c r="G157" s="150"/>
      <c r="H157" s="150"/>
    </row>
    <row r="158" spans="1:8" x14ac:dyDescent="0.2">
      <c r="A158" s="1" t="s">
        <v>2141</v>
      </c>
    </row>
    <row r="160" spans="1:8" x14ac:dyDescent="0.2">
      <c r="F160" s="1" t="s">
        <v>3269</v>
      </c>
    </row>
    <row r="161" spans="1:8" x14ac:dyDescent="0.2">
      <c r="F161" s="1" t="s">
        <v>3270</v>
      </c>
    </row>
    <row r="166" spans="1:8" x14ac:dyDescent="0.2">
      <c r="A166" s="1" t="s">
        <v>3267</v>
      </c>
    </row>
    <row r="167" spans="1:8" x14ac:dyDescent="0.2">
      <c r="A167" s="1" t="s">
        <v>3268</v>
      </c>
    </row>
    <row r="169" spans="1:8" x14ac:dyDescent="0.2">
      <c r="A169" s="1" t="s">
        <v>3271</v>
      </c>
    </row>
    <row r="170" spans="1:8" x14ac:dyDescent="0.2">
      <c r="A170" s="1" t="s">
        <v>2142</v>
      </c>
    </row>
    <row r="171" spans="1:8" x14ac:dyDescent="0.2">
      <c r="A171" s="1" t="s">
        <v>2143</v>
      </c>
    </row>
    <row r="172" spans="1:8" x14ac:dyDescent="0.2">
      <c r="A172" s="1" t="s">
        <v>2144</v>
      </c>
    </row>
    <row r="174" spans="1:8" x14ac:dyDescent="0.2">
      <c r="A174" s="3" t="s">
        <v>2145</v>
      </c>
    </row>
    <row r="175" spans="1:8" ht="17" thickBot="1" x14ac:dyDescent="0.25"/>
    <row r="176" spans="1:8" x14ac:dyDescent="0.2">
      <c r="A176" s="250" t="s">
        <v>3272</v>
      </c>
      <c r="B176" s="251"/>
      <c r="C176" s="251"/>
      <c r="D176" s="251"/>
      <c r="E176" s="251"/>
      <c r="F176" s="251"/>
      <c r="G176" s="251"/>
      <c r="H176" s="252"/>
    </row>
    <row r="177" spans="1:8" x14ac:dyDescent="0.2">
      <c r="A177" s="253" t="s">
        <v>3273</v>
      </c>
      <c r="B177" s="186"/>
      <c r="C177" s="186"/>
      <c r="D177" s="186"/>
      <c r="E177" s="186"/>
      <c r="F177" s="186"/>
      <c r="G177" s="186"/>
      <c r="H177" s="254"/>
    </row>
    <row r="178" spans="1:8" x14ac:dyDescent="0.2">
      <c r="A178" s="253" t="s">
        <v>3274</v>
      </c>
      <c r="B178" s="186"/>
      <c r="C178" s="186"/>
      <c r="D178" s="186"/>
      <c r="E178" s="186"/>
      <c r="F178" s="186"/>
      <c r="G178" s="186"/>
      <c r="H178" s="254"/>
    </row>
    <row r="179" spans="1:8" ht="17" thickBot="1" x14ac:dyDescent="0.25">
      <c r="A179" s="255" t="s">
        <v>3275</v>
      </c>
      <c r="B179" s="256"/>
      <c r="C179" s="256"/>
      <c r="D179" s="256"/>
      <c r="E179" s="256"/>
      <c r="F179" s="256"/>
      <c r="G179" s="256"/>
      <c r="H179" s="257"/>
    </row>
    <row r="181" spans="1:8" x14ac:dyDescent="0.2">
      <c r="A181" s="149" t="s">
        <v>2146</v>
      </c>
      <c r="B181" s="150"/>
      <c r="C181" s="150"/>
      <c r="D181" s="150"/>
      <c r="E181" s="150"/>
      <c r="F181" s="150"/>
      <c r="G181" s="150"/>
      <c r="H181" s="150"/>
    </row>
    <row r="182" spans="1:8" x14ac:dyDescent="0.2">
      <c r="A182" s="1" t="s">
        <v>2147</v>
      </c>
    </row>
    <row r="183" spans="1:8" x14ac:dyDescent="0.2">
      <c r="A183" s="1" t="s">
        <v>2148</v>
      </c>
    </row>
    <row r="184" spans="1:8" x14ac:dyDescent="0.2">
      <c r="A184" s="1" t="s">
        <v>2149</v>
      </c>
    </row>
    <row r="189" spans="1:8" x14ac:dyDescent="0.2">
      <c r="A189" s="149" t="s">
        <v>2150</v>
      </c>
      <c r="B189" s="149"/>
      <c r="C189" s="149"/>
      <c r="D189" s="149"/>
      <c r="E189" s="149"/>
      <c r="F189" s="149"/>
      <c r="G189" s="149"/>
      <c r="H189" s="149"/>
    </row>
    <row r="190" spans="1:8" x14ac:dyDescent="0.2">
      <c r="A190" s="1" t="s">
        <v>2151</v>
      </c>
    </row>
    <row r="191" spans="1:8" x14ac:dyDescent="0.2">
      <c r="A191" s="1" t="s">
        <v>2152</v>
      </c>
    </row>
    <row r="192" spans="1:8" x14ac:dyDescent="0.2">
      <c r="A192" s="1" t="s">
        <v>3277</v>
      </c>
    </row>
    <row r="193" spans="1:1" x14ac:dyDescent="0.2">
      <c r="A193" s="1" t="s">
        <v>3276</v>
      </c>
    </row>
    <row r="194" spans="1:1" x14ac:dyDescent="0.2">
      <c r="A194" s="1" t="s">
        <v>3278</v>
      </c>
    </row>
    <row r="195" spans="1:1" x14ac:dyDescent="0.2">
      <c r="A195" s="1" t="s">
        <v>2153</v>
      </c>
    </row>
    <row r="196" spans="1:1" x14ac:dyDescent="0.2">
      <c r="A196" s="1" t="s">
        <v>2154</v>
      </c>
    </row>
    <row r="198" spans="1:1" x14ac:dyDescent="0.2">
      <c r="A198" s="1" t="s">
        <v>2155</v>
      </c>
    </row>
    <row r="199" spans="1:1" x14ac:dyDescent="0.2">
      <c r="A199" s="1" t="s">
        <v>2156</v>
      </c>
    </row>
    <row r="201" spans="1:1" x14ac:dyDescent="0.2">
      <c r="A201" s="1" t="s">
        <v>2157</v>
      </c>
    </row>
    <row r="202" spans="1:1" x14ac:dyDescent="0.2">
      <c r="A202" s="1" t="s">
        <v>2158</v>
      </c>
    </row>
    <row r="203" spans="1:1" x14ac:dyDescent="0.2">
      <c r="A203" s="1" t="s">
        <v>2159</v>
      </c>
    </row>
    <row r="204" spans="1:1" x14ac:dyDescent="0.2">
      <c r="A204" s="1" t="s">
        <v>2160</v>
      </c>
    </row>
    <row r="205" spans="1:1" x14ac:dyDescent="0.2">
      <c r="A205" s="1" t="s">
        <v>2161</v>
      </c>
    </row>
    <row r="206" spans="1:1" x14ac:dyDescent="0.2">
      <c r="A206" s="1" t="s">
        <v>2162</v>
      </c>
    </row>
    <row r="207" spans="1:1" x14ac:dyDescent="0.2">
      <c r="A207" s="1" t="s">
        <v>2163</v>
      </c>
    </row>
    <row r="208" spans="1:1" x14ac:dyDescent="0.2">
      <c r="A208" s="1" t="s">
        <v>2164</v>
      </c>
    </row>
    <row r="209" spans="1:8" s="62" customFormat="1" x14ac:dyDescent="0.2">
      <c r="A209" s="62" t="s">
        <v>2165</v>
      </c>
      <c r="H209" s="62" t="s">
        <v>1771</v>
      </c>
    </row>
    <row r="210" spans="1:8" s="62" customFormat="1" x14ac:dyDescent="0.2">
      <c r="A210" s="62" t="s">
        <v>2166</v>
      </c>
    </row>
    <row r="211" spans="1:8" s="62" customFormat="1" x14ac:dyDescent="0.2">
      <c r="A211" s="62" t="s">
        <v>2497</v>
      </c>
    </row>
    <row r="212" spans="1:8" s="62" customFormat="1" x14ac:dyDescent="0.2">
      <c r="A212" s="62" t="s">
        <v>2498</v>
      </c>
    </row>
    <row r="213" spans="1:8" x14ac:dyDescent="0.2">
      <c r="A213" s="1" t="s">
        <v>2168</v>
      </c>
    </row>
    <row r="214" spans="1:8" x14ac:dyDescent="0.2">
      <c r="A214" s="1" t="s">
        <v>2169</v>
      </c>
    </row>
    <row r="216" spans="1:8" x14ac:dyDescent="0.2">
      <c r="A216" s="1" t="s">
        <v>2170</v>
      </c>
    </row>
    <row r="217" spans="1:8" x14ac:dyDescent="0.2">
      <c r="A217" s="1" t="s">
        <v>2171</v>
      </c>
    </row>
    <row r="218" spans="1:8" x14ac:dyDescent="0.2">
      <c r="A218" s="1" t="s">
        <v>2172</v>
      </c>
    </row>
    <row r="219" spans="1:8" x14ac:dyDescent="0.2">
      <c r="A219" s="1" t="s">
        <v>2173</v>
      </c>
    </row>
    <row r="220" spans="1:8" x14ac:dyDescent="0.2">
      <c r="A220" s="1" t="s">
        <v>2174</v>
      </c>
    </row>
    <row r="221" spans="1:8" x14ac:dyDescent="0.2">
      <c r="A221" s="1" t="s">
        <v>2175</v>
      </c>
    </row>
    <row r="223" spans="1:8" x14ac:dyDescent="0.2">
      <c r="A223" s="130" t="s">
        <v>2176</v>
      </c>
      <c r="B223" s="130"/>
      <c r="C223" s="130"/>
      <c r="D223" s="130"/>
      <c r="E223" s="130"/>
      <c r="F223" s="130"/>
      <c r="G223" s="130"/>
      <c r="H223" s="130"/>
    </row>
    <row r="225" spans="1:8" x14ac:dyDescent="0.2">
      <c r="A225" s="130" t="s">
        <v>2033</v>
      </c>
      <c r="B225" s="130"/>
      <c r="C225" s="130"/>
      <c r="D225" s="130"/>
      <c r="E225" s="130"/>
      <c r="F225" s="130"/>
      <c r="G225" s="130"/>
      <c r="H225" s="130"/>
    </row>
    <row r="226" spans="1:8" x14ac:dyDescent="0.2">
      <c r="A226" s="1" t="s">
        <v>2177</v>
      </c>
    </row>
    <row r="227" spans="1:8" x14ac:dyDescent="0.2">
      <c r="A227" s="1" t="s">
        <v>2178</v>
      </c>
    </row>
    <row r="229" spans="1:8" x14ac:dyDescent="0.2">
      <c r="A229" s="130" t="s">
        <v>2039</v>
      </c>
      <c r="B229" s="130"/>
      <c r="C229" s="130" t="s">
        <v>2179</v>
      </c>
      <c r="D229" s="130"/>
      <c r="E229" s="130"/>
      <c r="F229" s="130"/>
      <c r="G229" s="130"/>
      <c r="H229" s="130"/>
    </row>
    <row r="230" spans="1:8" x14ac:dyDescent="0.2">
      <c r="A230" s="1" t="s">
        <v>2180</v>
      </c>
    </row>
    <row r="231" spans="1:8" x14ac:dyDescent="0.2">
      <c r="E231" s="10" t="s">
        <v>2181</v>
      </c>
      <c r="F231" s="10" t="s">
        <v>2182</v>
      </c>
    </row>
    <row r="232" spans="1:8" x14ac:dyDescent="0.2">
      <c r="A232" s="1" t="s">
        <v>2482</v>
      </c>
      <c r="B232" s="1" t="s">
        <v>2183</v>
      </c>
      <c r="E232" s="1">
        <v>100</v>
      </c>
    </row>
    <row r="233" spans="1:8" x14ac:dyDescent="0.2">
      <c r="A233" s="1" t="s">
        <v>2482</v>
      </c>
      <c r="B233" s="1" t="s">
        <v>2483</v>
      </c>
      <c r="E233" s="1">
        <v>70</v>
      </c>
      <c r="F233" s="1">
        <v>1.2</v>
      </c>
    </row>
    <row r="234" spans="1:8" x14ac:dyDescent="0.2">
      <c r="A234" s="1" t="s">
        <v>2482</v>
      </c>
      <c r="B234" s="1" t="s">
        <v>2484</v>
      </c>
      <c r="E234" s="1">
        <v>30</v>
      </c>
      <c r="F234" s="1">
        <v>1</v>
      </c>
    </row>
    <row r="236" spans="1:8" x14ac:dyDescent="0.2">
      <c r="A236" s="1" t="s">
        <v>3279</v>
      </c>
    </row>
    <row r="238" spans="1:8" x14ac:dyDescent="0.2">
      <c r="A238" s="1" t="s">
        <v>2185</v>
      </c>
    </row>
    <row r="239" spans="1:8" x14ac:dyDescent="0.2">
      <c r="A239" s="1" t="s">
        <v>2186</v>
      </c>
    </row>
    <row r="241" spans="1:7" x14ac:dyDescent="0.2">
      <c r="A241" s="1" t="s">
        <v>2187</v>
      </c>
    </row>
    <row r="242" spans="1:7" x14ac:dyDescent="0.2">
      <c r="A242" s="1" t="s">
        <v>2188</v>
      </c>
    </row>
    <row r="243" spans="1:7" x14ac:dyDescent="0.2">
      <c r="A243" s="1" t="s">
        <v>2189</v>
      </c>
    </row>
    <row r="245" spans="1:7" x14ac:dyDescent="0.2">
      <c r="A245" s="1" t="s">
        <v>2190</v>
      </c>
    </row>
    <row r="246" spans="1:7" x14ac:dyDescent="0.2">
      <c r="A246" s="1" t="s">
        <v>2191</v>
      </c>
    </row>
    <row r="247" spans="1:7" x14ac:dyDescent="0.2">
      <c r="D247" s="10" t="s">
        <v>2192</v>
      </c>
    </row>
    <row r="248" spans="1:7" x14ac:dyDescent="0.2">
      <c r="B248" s="1" t="s">
        <v>2193</v>
      </c>
      <c r="D248" s="1">
        <v>1</v>
      </c>
    </row>
    <row r="249" spans="1:7" x14ac:dyDescent="0.2">
      <c r="B249" s="1" t="s">
        <v>2194</v>
      </c>
      <c r="D249" s="1">
        <v>0.3</v>
      </c>
    </row>
    <row r="250" spans="1:7" x14ac:dyDescent="0.2">
      <c r="B250" s="1" t="s">
        <v>373</v>
      </c>
      <c r="D250" s="1">
        <f>D248+D249</f>
        <v>1.3</v>
      </c>
    </row>
    <row r="252" spans="1:7" x14ac:dyDescent="0.2">
      <c r="B252" s="1" t="s">
        <v>2486</v>
      </c>
      <c r="F252" s="190">
        <f>D249/D250</f>
        <v>0.23076923076923075</v>
      </c>
      <c r="G252" s="1" t="s">
        <v>2487</v>
      </c>
    </row>
    <row r="254" spans="1:7" x14ac:dyDescent="0.2">
      <c r="A254" s="1" t="s">
        <v>2195</v>
      </c>
    </row>
    <row r="255" spans="1:7" x14ac:dyDescent="0.2">
      <c r="A255" s="1" t="s">
        <v>2196</v>
      </c>
    </row>
    <row r="257" spans="1:8" x14ac:dyDescent="0.2">
      <c r="D257" s="10" t="s">
        <v>2192</v>
      </c>
    </row>
    <row r="258" spans="1:8" x14ac:dyDescent="0.2">
      <c r="A258" s="1" t="s">
        <v>2197</v>
      </c>
      <c r="B258" s="1" t="s">
        <v>2489</v>
      </c>
      <c r="D258" s="191">
        <f>D260-D259</f>
        <v>0.92307692307692313</v>
      </c>
    </row>
    <row r="259" spans="1:8" x14ac:dyDescent="0.2">
      <c r="A259" s="1" t="s">
        <v>2198</v>
      </c>
      <c r="B259" s="1" t="s">
        <v>2194</v>
      </c>
      <c r="D259" s="189">
        <f>F252*D260</f>
        <v>0.27692307692307688</v>
      </c>
      <c r="G259" s="1" t="s">
        <v>2488</v>
      </c>
    </row>
    <row r="260" spans="1:8" x14ac:dyDescent="0.2">
      <c r="B260" s="1" t="s">
        <v>2485</v>
      </c>
      <c r="D260" s="188">
        <v>1.2</v>
      </c>
    </row>
    <row r="261" spans="1:8" x14ac:dyDescent="0.2">
      <c r="D261" s="159"/>
      <c r="G261" s="1" t="s">
        <v>2199</v>
      </c>
      <c r="H261" s="1" t="s">
        <v>2200</v>
      </c>
    </row>
    <row r="262" spans="1:8" x14ac:dyDescent="0.2">
      <c r="A262" s="3" t="s">
        <v>2201</v>
      </c>
      <c r="D262" s="159"/>
      <c r="G262" s="1" t="s">
        <v>2202</v>
      </c>
      <c r="H262" s="1" t="s">
        <v>2203</v>
      </c>
    </row>
    <row r="263" spans="1:8" x14ac:dyDescent="0.2">
      <c r="A263" s="1" t="s">
        <v>3280</v>
      </c>
      <c r="D263" s="159"/>
      <c r="G263" s="1" t="s">
        <v>2204</v>
      </c>
      <c r="H263" s="1" t="s">
        <v>2205</v>
      </c>
    </row>
    <row r="264" spans="1:8" x14ac:dyDescent="0.2">
      <c r="A264" s="1" t="s">
        <v>3281</v>
      </c>
      <c r="G264" s="1" t="s">
        <v>2206</v>
      </c>
      <c r="H264" s="1" t="s">
        <v>2207</v>
      </c>
    </row>
    <row r="265" spans="1:8" x14ac:dyDescent="0.2">
      <c r="A265" s="1" t="s">
        <v>2208</v>
      </c>
      <c r="G265" s="1" t="s">
        <v>2209</v>
      </c>
    </row>
    <row r="266" spans="1:8" x14ac:dyDescent="0.2">
      <c r="A266" s="1" t="s">
        <v>3282</v>
      </c>
    </row>
    <row r="267" spans="1:8" x14ac:dyDescent="0.2">
      <c r="A267" s="1" t="s">
        <v>2210</v>
      </c>
    </row>
    <row r="268" spans="1:8" x14ac:dyDescent="0.2">
      <c r="A268" s="1" t="s">
        <v>2490</v>
      </c>
    </row>
    <row r="270" spans="1:8" x14ac:dyDescent="0.2">
      <c r="E270" s="10" t="s">
        <v>2181</v>
      </c>
      <c r="F270" s="10" t="s">
        <v>2211</v>
      </c>
    </row>
    <row r="271" spans="1:8" x14ac:dyDescent="0.2">
      <c r="B271" s="1" t="s">
        <v>2183</v>
      </c>
      <c r="E271" s="1">
        <v>100</v>
      </c>
    </row>
    <row r="272" spans="1:8" x14ac:dyDescent="0.2">
      <c r="B272" s="1" t="s">
        <v>2184</v>
      </c>
      <c r="E272" s="1">
        <v>70</v>
      </c>
      <c r="F272" s="160">
        <f>D258</f>
        <v>0.92307692307692313</v>
      </c>
    </row>
    <row r="273" spans="1:7" x14ac:dyDescent="0.2">
      <c r="B273" s="1" t="s">
        <v>2212</v>
      </c>
      <c r="E273" s="1">
        <v>30</v>
      </c>
      <c r="F273" s="1">
        <v>1</v>
      </c>
    </row>
    <row r="275" spans="1:7" x14ac:dyDescent="0.2">
      <c r="A275" s="1" t="s">
        <v>2213</v>
      </c>
      <c r="E275" s="161">
        <f>E272*F272+E273*F273</f>
        <v>94.615384615384613</v>
      </c>
      <c r="G275" s="1" t="s">
        <v>2214</v>
      </c>
    </row>
    <row r="277" spans="1:7" x14ac:dyDescent="0.2">
      <c r="A277" s="162" t="s">
        <v>2215</v>
      </c>
    </row>
    <row r="294" spans="1:8" x14ac:dyDescent="0.2">
      <c r="A294" s="1" t="s">
        <v>2216</v>
      </c>
    </row>
    <row r="295" spans="1:8" x14ac:dyDescent="0.2">
      <c r="A295" s="1" t="s">
        <v>2217</v>
      </c>
    </row>
    <row r="296" spans="1:8" x14ac:dyDescent="0.2">
      <c r="A296" s="1" t="s">
        <v>2218</v>
      </c>
    </row>
    <row r="298" spans="1:8" x14ac:dyDescent="0.2">
      <c r="A298" s="1" t="s">
        <v>2219</v>
      </c>
    </row>
    <row r="299" spans="1:8" x14ac:dyDescent="0.2">
      <c r="A299" s="1" t="s">
        <v>2220</v>
      </c>
    </row>
    <row r="300" spans="1:8" x14ac:dyDescent="0.2">
      <c r="A300" s="1" t="s">
        <v>2221</v>
      </c>
    </row>
    <row r="302" spans="1:8" x14ac:dyDescent="0.2">
      <c r="A302" s="130" t="s">
        <v>2093</v>
      </c>
      <c r="B302" s="130"/>
      <c r="C302" s="130"/>
      <c r="D302" s="130"/>
      <c r="E302" s="130"/>
      <c r="F302" s="130"/>
      <c r="G302" s="130"/>
      <c r="H302" s="130"/>
    </row>
    <row r="303" spans="1:8" x14ac:dyDescent="0.2">
      <c r="A303" s="1" t="s">
        <v>2222</v>
      </c>
    </row>
    <row r="304" spans="1:8" x14ac:dyDescent="0.2">
      <c r="A304" s="1" t="s">
        <v>2223</v>
      </c>
    </row>
    <row r="306" spans="1:8" x14ac:dyDescent="0.2">
      <c r="A306" s="130" t="s">
        <v>2224</v>
      </c>
      <c r="B306" s="130"/>
      <c r="C306" s="130" t="s">
        <v>2179</v>
      </c>
      <c r="D306" s="130"/>
      <c r="E306" s="130"/>
      <c r="F306" s="130"/>
      <c r="G306" s="130"/>
      <c r="H306" s="130"/>
    </row>
    <row r="307" spans="1:8" x14ac:dyDescent="0.2">
      <c r="A307" s="1" t="s">
        <v>2491</v>
      </c>
    </row>
    <row r="308" spans="1:8" x14ac:dyDescent="0.2">
      <c r="A308" s="1" t="s">
        <v>2225</v>
      </c>
    </row>
    <row r="309" spans="1:8" x14ac:dyDescent="0.2">
      <c r="A309" s="1" t="s">
        <v>2226</v>
      </c>
    </row>
    <row r="310" spans="1:8" x14ac:dyDescent="0.2">
      <c r="A310" s="1" t="s">
        <v>2227</v>
      </c>
    </row>
    <row r="312" spans="1:8" x14ac:dyDescent="0.2">
      <c r="A312" s="1" t="s">
        <v>2228</v>
      </c>
    </row>
    <row r="313" spans="1:8" x14ac:dyDescent="0.2">
      <c r="A313" s="1" t="s">
        <v>2229</v>
      </c>
    </row>
    <row r="314" spans="1:8" x14ac:dyDescent="0.2">
      <c r="A314" s="1" t="s">
        <v>2230</v>
      </c>
    </row>
    <row r="316" spans="1:8" x14ac:dyDescent="0.2">
      <c r="C316" s="10" t="s">
        <v>2231</v>
      </c>
      <c r="D316" s="10" t="s">
        <v>2232</v>
      </c>
      <c r="E316" s="10" t="s">
        <v>2233</v>
      </c>
      <c r="F316" s="10"/>
      <c r="G316" s="10"/>
    </row>
    <row r="317" spans="1:8" x14ac:dyDescent="0.2">
      <c r="A317" s="1" t="s">
        <v>2234</v>
      </c>
      <c r="C317" s="1">
        <v>100</v>
      </c>
      <c r="D317" s="1">
        <v>30</v>
      </c>
      <c r="E317" s="1">
        <f>C317*D317</f>
        <v>3000</v>
      </c>
    </row>
    <row r="318" spans="1:8" ht="17" thickBot="1" x14ac:dyDescent="0.25">
      <c r="A318" s="1" t="s">
        <v>2235</v>
      </c>
      <c r="C318" s="1">
        <v>277</v>
      </c>
      <c r="D318" s="1">
        <v>70</v>
      </c>
      <c r="E318" s="1">
        <f>C318*D318</f>
        <v>19390</v>
      </c>
    </row>
    <row r="319" spans="1:8" ht="17" thickBot="1" x14ac:dyDescent="0.25">
      <c r="A319" s="1" t="s">
        <v>2236</v>
      </c>
      <c r="E319" s="163">
        <f>E317+E318</f>
        <v>22390</v>
      </c>
    </row>
    <row r="321" spans="1:8" x14ac:dyDescent="0.2">
      <c r="A321" s="1" t="s">
        <v>2492</v>
      </c>
    </row>
    <row r="322" spans="1:8" x14ac:dyDescent="0.2">
      <c r="A322" s="1" t="s">
        <v>2493</v>
      </c>
    </row>
    <row r="323" spans="1:8" x14ac:dyDescent="0.2">
      <c r="A323" s="1" t="s">
        <v>2494</v>
      </c>
    </row>
    <row r="325" spans="1:8" x14ac:dyDescent="0.2">
      <c r="A325" s="1" t="s">
        <v>2495</v>
      </c>
    </row>
    <row r="326" spans="1:8" x14ac:dyDescent="0.2">
      <c r="A326" s="1" t="s">
        <v>2496</v>
      </c>
    </row>
    <row r="330" spans="1:8" x14ac:dyDescent="0.2">
      <c r="A330" s="130" t="s">
        <v>2108</v>
      </c>
      <c r="B330" s="130"/>
      <c r="C330" s="130"/>
      <c r="D330" s="130"/>
      <c r="E330" s="130"/>
      <c r="F330" s="130"/>
      <c r="G330" s="130"/>
      <c r="H330" s="130"/>
    </row>
    <row r="331" spans="1:8" x14ac:dyDescent="0.2">
      <c r="A331" s="1" t="s">
        <v>2237</v>
      </c>
    </row>
    <row r="332" spans="1:8" x14ac:dyDescent="0.2">
      <c r="A332" s="1" t="s">
        <v>2238</v>
      </c>
    </row>
    <row r="334" spans="1:8" x14ac:dyDescent="0.2">
      <c r="A334" s="130" t="s">
        <v>2113</v>
      </c>
      <c r="B334" s="130"/>
      <c r="C334" s="130" t="s">
        <v>2239</v>
      </c>
      <c r="D334" s="130"/>
      <c r="E334" s="130"/>
      <c r="F334" s="130"/>
      <c r="G334" s="130"/>
      <c r="H334" s="130"/>
    </row>
    <row r="335" spans="1:8" x14ac:dyDescent="0.2">
      <c r="A335" s="3" t="s">
        <v>2240</v>
      </c>
      <c r="B335" s="3"/>
      <c r="C335" s="3"/>
      <c r="D335" s="3"/>
      <c r="E335" s="3"/>
      <c r="F335" s="3"/>
      <c r="G335" s="3"/>
      <c r="H335" s="3"/>
    </row>
    <row r="336" spans="1:8" x14ac:dyDescent="0.2">
      <c r="A336" s="1" t="s">
        <v>2161</v>
      </c>
    </row>
    <row r="337" spans="1:8" x14ac:dyDescent="0.2">
      <c r="A337" s="1" t="s">
        <v>2162</v>
      </c>
    </row>
    <row r="338" spans="1:8" x14ac:dyDescent="0.2">
      <c r="A338" s="1" t="s">
        <v>2163</v>
      </c>
    </row>
    <row r="339" spans="1:8" x14ac:dyDescent="0.2">
      <c r="A339" s="1" t="s">
        <v>2164</v>
      </c>
    </row>
    <row r="340" spans="1:8" x14ac:dyDescent="0.2">
      <c r="A340" s="1" t="s">
        <v>2165</v>
      </c>
    </row>
    <row r="341" spans="1:8" x14ac:dyDescent="0.2">
      <c r="A341" s="1" t="s">
        <v>2166</v>
      </c>
    </row>
    <row r="342" spans="1:8" x14ac:dyDescent="0.2">
      <c r="A342" s="1" t="s">
        <v>2167</v>
      </c>
    </row>
    <row r="343" spans="1:8" x14ac:dyDescent="0.2">
      <c r="A343" s="1" t="s">
        <v>2241</v>
      </c>
    </row>
    <row r="344" spans="1:8" x14ac:dyDescent="0.2">
      <c r="A344" s="1" t="s">
        <v>2169</v>
      </c>
    </row>
    <row r="345" spans="1:8" ht="17" thickBot="1" x14ac:dyDescent="0.25"/>
    <row r="346" spans="1:8" x14ac:dyDescent="0.2">
      <c r="A346" s="46" t="s">
        <v>2242</v>
      </c>
      <c r="B346" s="32"/>
      <c r="C346" s="32"/>
      <c r="D346" s="32"/>
      <c r="E346" s="32"/>
      <c r="F346" s="32"/>
      <c r="G346" s="32"/>
      <c r="H346" s="33"/>
    </row>
    <row r="347" spans="1:8" x14ac:dyDescent="0.2">
      <c r="A347" s="34" t="s">
        <v>2243</v>
      </c>
      <c r="H347" s="35"/>
    </row>
    <row r="348" spans="1:8" x14ac:dyDescent="0.2">
      <c r="A348" s="34"/>
      <c r="H348" s="35"/>
    </row>
    <row r="349" spans="1:8" ht="17" thickBot="1" x14ac:dyDescent="0.25">
      <c r="A349" s="36" t="s">
        <v>2244</v>
      </c>
      <c r="B349" s="37"/>
      <c r="C349" s="37"/>
      <c r="D349" s="37"/>
      <c r="E349" s="37"/>
      <c r="F349" s="37"/>
      <c r="G349" s="37"/>
      <c r="H349" s="38"/>
    </row>
    <row r="351" spans="1:8" x14ac:dyDescent="0.2">
      <c r="A351" s="1" t="s">
        <v>2245</v>
      </c>
    </row>
    <row r="360" spans="1:8" x14ac:dyDescent="0.2">
      <c r="A360" s="3" t="s">
        <v>2246</v>
      </c>
      <c r="B360" s="3"/>
      <c r="C360" s="3"/>
      <c r="D360" s="3"/>
      <c r="E360" s="3"/>
      <c r="F360" s="3"/>
      <c r="G360" s="3"/>
      <c r="H360" s="3"/>
    </row>
    <row r="362" spans="1:8" x14ac:dyDescent="0.2">
      <c r="A362" s="1" t="s">
        <v>3284</v>
      </c>
      <c r="B362" s="11">
        <v>1000000</v>
      </c>
      <c r="D362" s="1" t="s">
        <v>3283</v>
      </c>
      <c r="F362" s="11">
        <v>1000000</v>
      </c>
    </row>
    <row r="364" spans="1:8" x14ac:dyDescent="0.2">
      <c r="A364" s="1" t="s">
        <v>3285</v>
      </c>
    </row>
    <row r="365" spans="1:8" x14ac:dyDescent="0.2">
      <c r="A365" s="1" t="s">
        <v>3286</v>
      </c>
    </row>
    <row r="366" spans="1:8" x14ac:dyDescent="0.2">
      <c r="A366" s="1" t="s">
        <v>3287</v>
      </c>
    </row>
    <row r="368" spans="1:8" x14ac:dyDescent="0.2">
      <c r="A368" s="1" t="s">
        <v>3288</v>
      </c>
    </row>
    <row r="369" spans="1:8" x14ac:dyDescent="0.2">
      <c r="A369" s="1" t="s">
        <v>3289</v>
      </c>
    </row>
    <row r="370" spans="1:8" x14ac:dyDescent="0.2">
      <c r="A370" s="1" t="s">
        <v>3290</v>
      </c>
    </row>
    <row r="371" spans="1:8" x14ac:dyDescent="0.2">
      <c r="A371" s="1" t="s">
        <v>3291</v>
      </c>
    </row>
    <row r="372" spans="1:8" x14ac:dyDescent="0.2">
      <c r="A372" s="1" t="s">
        <v>3292</v>
      </c>
    </row>
    <row r="374" spans="1:8" x14ac:dyDescent="0.2">
      <c r="A374" s="130" t="s">
        <v>2120</v>
      </c>
      <c r="B374" s="130"/>
      <c r="C374" s="130"/>
      <c r="D374" s="130"/>
      <c r="E374" s="130"/>
      <c r="F374" s="130"/>
      <c r="G374" s="130"/>
      <c r="H374" s="130"/>
    </row>
    <row r="375" spans="1:8" x14ac:dyDescent="0.2">
      <c r="A375" s="1" t="s">
        <v>2247</v>
      </c>
    </row>
    <row r="376" spans="1:8" x14ac:dyDescent="0.2">
      <c r="A376" s="1" t="s">
        <v>2248</v>
      </c>
    </row>
    <row r="378" spans="1:8" x14ac:dyDescent="0.2">
      <c r="A378" s="130" t="s">
        <v>2127</v>
      </c>
      <c r="B378" s="130" t="s">
        <v>2499</v>
      </c>
      <c r="C378" s="130"/>
      <c r="D378" s="130"/>
      <c r="E378" s="130"/>
      <c r="F378" s="130"/>
      <c r="G378" s="130"/>
      <c r="H378" s="130"/>
    </row>
    <row r="391" spans="1:8" x14ac:dyDescent="0.2">
      <c r="A391" s="1" t="s">
        <v>2249</v>
      </c>
    </row>
    <row r="392" spans="1:8" x14ac:dyDescent="0.2">
      <c r="A392" s="1" t="s">
        <v>2250</v>
      </c>
    </row>
    <row r="393" spans="1:8" x14ac:dyDescent="0.2">
      <c r="A393" s="3" t="s">
        <v>2251</v>
      </c>
      <c r="B393" s="3"/>
      <c r="C393" s="3"/>
      <c r="D393" s="3"/>
      <c r="E393" s="3"/>
      <c r="F393" s="3"/>
      <c r="G393" s="3"/>
      <c r="H393" s="3"/>
    </row>
    <row r="394" spans="1:8" x14ac:dyDescent="0.2">
      <c r="A394" s="3" t="s">
        <v>2252</v>
      </c>
      <c r="B394" s="3"/>
      <c r="C394" s="3"/>
      <c r="D394" s="3"/>
      <c r="E394" s="3"/>
      <c r="F394" s="3"/>
      <c r="G394" s="3"/>
      <c r="H394" s="3"/>
    </row>
  </sheetData>
  <mergeCells count="1">
    <mergeCell ref="A1:H1"/>
  </mergeCells>
  <hyperlinks>
    <hyperlink ref="F15" r:id="rId1" xr:uid="{D8588EC2-36D3-6145-91FB-55C13FA5C5C2}"/>
  </hyperlinks>
  <pageMargins left="0.7" right="0.7" top="0.75" bottom="0.75" header="0.3" footer="0.3"/>
  <pageSetup paperSize="9" scale="89" orientation="portrait" horizontalDpi="0" verticalDpi="0"/>
  <colBreaks count="1" manualBreakCount="1">
    <brk id="8" max="1048575" man="1"/>
  </colBreaks>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11</vt:i4>
      </vt:variant>
      <vt:variant>
        <vt:lpstr>Named Ranges</vt:lpstr>
      </vt:variant>
      <vt:variant>
        <vt:i4>1</vt:i4>
      </vt:variant>
    </vt:vector>
  </HeadingPairs>
  <TitlesOfParts>
    <vt:vector size="12" baseType="lpstr">
      <vt:lpstr>Lecture 1</vt:lpstr>
      <vt:lpstr>Lecture 2</vt:lpstr>
      <vt:lpstr>Lecture 3</vt:lpstr>
      <vt:lpstr>Lecture 4</vt:lpstr>
      <vt:lpstr>Lecture 5</vt:lpstr>
      <vt:lpstr>Lecture 5b, 6</vt:lpstr>
      <vt:lpstr>Lecture 7 New</vt:lpstr>
      <vt:lpstr>Lecture 9 new</vt:lpstr>
      <vt:lpstr>Lecture 10 New</vt:lpstr>
      <vt:lpstr>Lecture Lecture 10b New</vt:lpstr>
      <vt:lpstr>Lecture 11</vt:lpstr>
      <vt:lpstr>'Lecture 7 New'!Print_Area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Shay Tsaban</cp:lastModifiedBy>
  <dcterms:created xsi:type="dcterms:W3CDTF">2022-11-08T11:59:21Z</dcterms:created>
  <dcterms:modified xsi:type="dcterms:W3CDTF">2025-01-12T15:45:42Z</dcterms:modified>
</cp:coreProperties>
</file>